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ynnm\Dropbox\Lynn's Stuff\AC MLBC\PS Franchisee Health Plan\10-Plan Design\BCBSTX\2027\Rate Tiers 2027\"/>
    </mc:Choice>
  </mc:AlternateContent>
  <xr:revisionPtr revIDLastSave="0" documentId="13_ncr:1_{A9890B0C-901D-4C7A-95CF-6770E859D880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Rate Sheet NATIONAL 1.2" sheetId="2" r:id="rId1"/>
    <sheet name="INSTRUCTION TAB" sheetId="16" r:id="rId2"/>
    <sheet name="Rate Sheet TEXAS" sheetId="12" r:id="rId3"/>
    <sheet name="Rate tier guide" sheetId="15" state="hidden" r:id="rId4"/>
    <sheet name="SPD Features" sheetId="1" state="hidden" r:id="rId5"/>
  </sheets>
  <definedNames>
    <definedName name="_xlnm.Print_Area" localSheetId="0">'Rate Sheet NATIONAL 1.2'!$B$6:$L$23</definedName>
    <definedName name="_xlnm.Print_Area" localSheetId="2">'Rate Sheet TEXAS'!$C$9:$M$43</definedName>
    <definedName name="_xlnm.Print_Area" localSheetId="4">'SPD Features'!$B$1:$E$21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12" l="1"/>
  <c r="D33" i="12"/>
  <c r="D32" i="12"/>
  <c r="D31" i="12"/>
  <c r="D30" i="12"/>
  <c r="J33" i="12"/>
  <c r="J32" i="12"/>
  <c r="J31" i="12"/>
  <c r="J30" i="12"/>
  <c r="D40" i="12"/>
  <c r="D39" i="12"/>
  <c r="D38" i="12"/>
  <c r="D37" i="12"/>
  <c r="J40" i="12"/>
  <c r="L40" i="12" s="1"/>
  <c r="M40" i="12" s="1"/>
  <c r="J39" i="12"/>
  <c r="L39" i="12" s="1"/>
  <c r="M39" i="12" s="1"/>
  <c r="J38" i="12"/>
  <c r="L38" i="12" s="1"/>
  <c r="M38" i="12" s="1"/>
  <c r="J37" i="12"/>
  <c r="L37" i="12" s="1"/>
  <c r="M37" i="12" s="1"/>
  <c r="D16" i="12"/>
  <c r="J26" i="12"/>
  <c r="J25" i="12"/>
  <c r="J24" i="12"/>
  <c r="J23" i="12"/>
  <c r="D26" i="12"/>
  <c r="D25" i="12"/>
  <c r="D24" i="12"/>
  <c r="D23" i="12"/>
  <c r="J19" i="12"/>
  <c r="J18" i="12"/>
  <c r="J17" i="12"/>
  <c r="J16" i="12"/>
  <c r="D19" i="12"/>
  <c r="D18" i="12"/>
  <c r="D17" i="12"/>
  <c r="C42" i="12"/>
  <c r="B24" i="2"/>
  <c r="F30" i="12" l="1"/>
  <c r="G30" i="12" s="1"/>
  <c r="E16" i="12"/>
  <c r="E31" i="12" l="1"/>
  <c r="F31" i="12" s="1"/>
  <c r="G31" i="12" s="1"/>
  <c r="E33" i="12"/>
  <c r="E32" i="12"/>
  <c r="F39" i="12"/>
  <c r="G39" i="12" s="1"/>
  <c r="F33" i="12"/>
  <c r="G33" i="12" s="1"/>
  <c r="L31" i="12"/>
  <c r="M31" i="12" s="1"/>
  <c r="F40" i="12"/>
  <c r="G40" i="12" s="1"/>
  <c r="F37" i="12"/>
  <c r="G37" i="12" s="1"/>
  <c r="L32" i="12"/>
  <c r="M32" i="12" s="1"/>
  <c r="F38" i="12"/>
  <c r="G38" i="12" s="1"/>
  <c r="L33" i="12"/>
  <c r="M33" i="12" s="1"/>
  <c r="F32" i="12"/>
  <c r="G32" i="12" s="1"/>
  <c r="L30" i="12"/>
  <c r="M30" i="12" s="1"/>
  <c r="K26" i="12"/>
  <c r="L26" i="12" s="1"/>
  <c r="M26" i="12" s="1"/>
  <c r="K18" i="12"/>
  <c r="L18" i="12" s="1"/>
  <c r="M18" i="12" s="1"/>
  <c r="K25" i="12"/>
  <c r="L25" i="12" s="1"/>
  <c r="M25" i="12" s="1"/>
  <c r="E23" i="12"/>
  <c r="F23" i="12" s="1"/>
  <c r="G23" i="12" s="1"/>
  <c r="K19" i="12"/>
  <c r="L19" i="12" s="1"/>
  <c r="M19" i="12" s="1"/>
  <c r="E17" i="12"/>
  <c r="F17" i="12" s="1"/>
  <c r="G17" i="12" s="1"/>
  <c r="F16" i="12"/>
  <c r="G16" i="12" s="1"/>
  <c r="K17" i="12"/>
  <c r="L17" i="12" s="1"/>
  <c r="M17" i="12" s="1"/>
  <c r="K24" i="12"/>
  <c r="L24" i="12" s="1"/>
  <c r="M24" i="12" s="1"/>
  <c r="E18" i="12"/>
  <c r="F18" i="12" s="1"/>
  <c r="G18" i="12" s="1"/>
  <c r="E25" i="12"/>
  <c r="F25" i="12" s="1"/>
  <c r="G25" i="12" s="1"/>
  <c r="E24" i="12"/>
  <c r="F24" i="12" s="1"/>
  <c r="G24" i="12" s="1"/>
  <c r="E19" i="12"/>
  <c r="F19" i="12" s="1"/>
  <c r="G19" i="12" s="1"/>
  <c r="E26" i="12"/>
  <c r="F26" i="12" s="1"/>
  <c r="G26" i="12" s="1"/>
  <c r="K16" i="12"/>
  <c r="L16" i="12" s="1"/>
  <c r="M16" i="12" s="1"/>
  <c r="K23" i="12"/>
  <c r="L23" i="12" s="1"/>
  <c r="M23" i="12" s="1"/>
  <c r="D12" i="2"/>
  <c r="J22" i="2" s="1"/>
  <c r="K22" i="2" s="1"/>
  <c r="L22" i="2" s="1"/>
  <c r="D19" i="2" l="1"/>
  <c r="E19" i="2" s="1"/>
  <c r="F19" i="2" s="1"/>
  <c r="D20" i="2"/>
  <c r="E20" i="2" s="1"/>
  <c r="F20" i="2" s="1"/>
  <c r="D15" i="2"/>
  <c r="E15" i="2" s="1"/>
  <c r="F15" i="2" s="1"/>
  <c r="D22" i="2"/>
  <c r="E22" i="2" s="1"/>
  <c r="F22" i="2" s="1"/>
  <c r="D13" i="2"/>
  <c r="E13" i="2" s="1"/>
  <c r="F13" i="2" s="1"/>
  <c r="J12" i="2"/>
  <c r="K12" i="2" s="1"/>
  <c r="L12" i="2" s="1"/>
  <c r="J19" i="2"/>
  <c r="K19" i="2" s="1"/>
  <c r="L19" i="2" s="1"/>
  <c r="E12" i="2"/>
  <c r="F12" i="2" s="1"/>
  <c r="D21" i="2"/>
  <c r="E21" i="2" s="1"/>
  <c r="F21" i="2" s="1"/>
  <c r="J13" i="2"/>
  <c r="K13" i="2" s="1"/>
  <c r="L13" i="2" s="1"/>
  <c r="J20" i="2"/>
  <c r="K20" i="2" s="1"/>
  <c r="L20" i="2" s="1"/>
  <c r="J14" i="2"/>
  <c r="K14" i="2" s="1"/>
  <c r="L14" i="2" s="1"/>
  <c r="J21" i="2"/>
  <c r="K21" i="2" s="1"/>
  <c r="L21" i="2" s="1"/>
  <c r="D14" i="2"/>
  <c r="E14" i="2" s="1"/>
  <c r="F14" i="2" s="1"/>
  <c r="J15" i="2"/>
  <c r="K15" i="2" s="1"/>
  <c r="L15" i="2" s="1"/>
</calcChain>
</file>

<file path=xl/sharedStrings.xml><?xml version="1.0" encoding="utf-8"?>
<sst xmlns="http://schemas.openxmlformats.org/spreadsheetml/2006/main" count="356" uniqueCount="119">
  <si>
    <t>Medical Deductible</t>
  </si>
  <si>
    <t>Doctor Co-Pay</t>
  </si>
  <si>
    <t>Specialist Co-Pay</t>
  </si>
  <si>
    <t>Tier 1 Drugs</t>
  </si>
  <si>
    <t>Tier 2 Drugs</t>
  </si>
  <si>
    <t>Tier 3 Drugs</t>
  </si>
  <si>
    <t>Tier 4 Drugs</t>
  </si>
  <si>
    <t>$2500/$7500</t>
  </si>
  <si>
    <t>Family</t>
  </si>
  <si>
    <t xml:space="preserve">Health, Dental and Vision Insurance Rates </t>
  </si>
  <si>
    <t>Monthly Premium</t>
  </si>
  <si>
    <t>Employee (EE)</t>
  </si>
  <si>
    <t>EE + Spouse</t>
  </si>
  <si>
    <t>EE + Child(ren)</t>
  </si>
  <si>
    <t>BCBS Dental</t>
  </si>
  <si>
    <t>BCBS Vision</t>
  </si>
  <si>
    <t>*Rates above are based on preliminary census data and may adjust slighlty based on overall enrollment data.</t>
  </si>
  <si>
    <t>Out of Pocket Maximum</t>
  </si>
  <si>
    <t>Plan Details</t>
  </si>
  <si>
    <t>Health Insurance Plan Comparisons</t>
  </si>
  <si>
    <t>Notes</t>
  </si>
  <si>
    <t>Individual/Family</t>
  </si>
  <si>
    <t>Amount you pay after deductible</t>
  </si>
  <si>
    <t>Co-Insurance</t>
  </si>
  <si>
    <t>OAP5 2.5K/20AE</t>
  </si>
  <si>
    <t>OPA2L 6K/0 7.15k</t>
  </si>
  <si>
    <t>Dental Vol Complete</t>
  </si>
  <si>
    <t>V-B1010</t>
  </si>
  <si>
    <t>Per Paycheck</t>
  </si>
  <si>
    <t>$6000/$12,000</t>
  </si>
  <si>
    <t>Effective January 1, 2019</t>
  </si>
  <si>
    <t>Bronze OAP2L 6K/07.9KG</t>
  </si>
  <si>
    <t>Silver OAP5 2.5K/20 7.9KAE</t>
  </si>
  <si>
    <t>$7,900/$15,800</t>
  </si>
  <si>
    <t>Preventative Care</t>
  </si>
  <si>
    <t>Maternity</t>
  </si>
  <si>
    <t>20% co-insurance after deductible is met</t>
  </si>
  <si>
    <t>$30 - no deductible</t>
  </si>
  <si>
    <t>Retail Clinic Visit</t>
  </si>
  <si>
    <t>Online Practitioner Visit</t>
  </si>
  <si>
    <t>$0 first 12 visits and then $30 per visit - no deductible</t>
  </si>
  <si>
    <t>Chiropractor</t>
  </si>
  <si>
    <t>$60 - no deductible</t>
  </si>
  <si>
    <t>25% co-insurance up to max of $350 per Rx</t>
  </si>
  <si>
    <t>$35 - no deductible</t>
  </si>
  <si>
    <t>0% co-insurance after deductible is met</t>
  </si>
  <si>
    <t>$0 first 12 visits and then $35 per visit - no deductible</t>
  </si>
  <si>
    <t>$500/$1,000</t>
  </si>
  <si>
    <t>$15 - no deductible</t>
  </si>
  <si>
    <t>$50 - after deductible</t>
  </si>
  <si>
    <t>$100 copay after Rx Deductible is met</t>
  </si>
  <si>
    <t>Rx Deductible</t>
  </si>
  <si>
    <t>30% coinsurance up to $500 after Rx deductible met</t>
  </si>
  <si>
    <t>Urgent Care Visit</t>
  </si>
  <si>
    <t>ex: CVS "MinuteClinic"</t>
  </si>
  <si>
    <t>$75 - no deductible</t>
  </si>
  <si>
    <t>Emergency Room Visit</t>
  </si>
  <si>
    <t>Non-emergency use is NOT covered</t>
  </si>
  <si>
    <t>*All benefits listed above are In-Network.  See Summary Plan Description for Out of Network benefits.</t>
  </si>
  <si>
    <t>Effective January 1, 2024</t>
  </si>
  <si>
    <t>Effective January 1, 2026</t>
  </si>
  <si>
    <t>EE Election</t>
  </si>
  <si>
    <t>Total Monthly Premium</t>
  </si>
  <si>
    <t>ER Monthly Premium</t>
  </si>
  <si>
    <t>EE Monthly Premium</t>
  </si>
  <si>
    <t>Enter your ER Contribution %:</t>
  </si>
  <si>
    <t>Enter # of payrolls/year:</t>
  </si>
  <si>
    <t xml:space="preserve">Health Insurance Rates </t>
  </si>
  <si>
    <t>Hide columns: C, D, I &amp; J before printing</t>
  </si>
  <si>
    <t>BCBS 7K Plan</t>
  </si>
  <si>
    <t>BCBS 3K</t>
  </si>
  <si>
    <t>BCBS 1.5K</t>
  </si>
  <si>
    <t>BCBS suOAP6 5K/20 7.9KN</t>
  </si>
  <si>
    <t>BCBS  OAP5 2.5K/20 7.9KAE</t>
  </si>
  <si>
    <t>BCBS 4K HSA</t>
  </si>
  <si>
    <t>semi-monthly</t>
  </si>
  <si>
    <t>Select payroll schedule:</t>
  </si>
  <si>
    <t>weekly</t>
  </si>
  <si>
    <t>bi-weekly</t>
  </si>
  <si>
    <t>Step 1:</t>
  </si>
  <si>
    <t>Step 2:</t>
  </si>
  <si>
    <t>Step 3:</t>
  </si>
  <si>
    <t xml:space="preserve">Step 4: </t>
  </si>
  <si>
    <t xml:space="preserve">Step 5: </t>
  </si>
  <si>
    <t>7K</t>
  </si>
  <si>
    <t>4K HSA</t>
  </si>
  <si>
    <t>3K</t>
  </si>
  <si>
    <t>1.5K</t>
  </si>
  <si>
    <t>TX HMO</t>
  </si>
  <si>
    <t>EE</t>
  </si>
  <si>
    <t>EE+SP</t>
  </si>
  <si>
    <t>EE+CH</t>
  </si>
  <si>
    <t>EE+FAM</t>
  </si>
  <si>
    <t>See Benefit Guide for Dental, Vision and other Supplemental Coverages and Rates</t>
  </si>
  <si>
    <t>Select your rate tier from the drop down box:</t>
  </si>
  <si>
    <t>Select payroll schedule from the drop down box:</t>
  </si>
  <si>
    <t>PLEASE READ - VERY IMPORTANT!</t>
  </si>
  <si>
    <t xml:space="preserve">IMPORTANT:  Your rate tier was emailed to you from Bryan Turmer with Marsha MMA. </t>
  </si>
  <si>
    <t xml:space="preserve">Enter your ER Contribution % into cell F2. The required minimum is 60%, although you may enter a higher %. </t>
  </si>
  <si>
    <t>monthly</t>
  </si>
  <si>
    <t xml:space="preserve">Step 6: </t>
  </si>
  <si>
    <t>Enter # of payrolls/year. Weekly = 52; bi-weekly - 26; semi-monthly = 24; monthly = 1</t>
  </si>
  <si>
    <t>Select payroll schedule from the drop down box. Choices are: weekly, bi-weekly, semi-monthly, or monthly</t>
  </si>
  <si>
    <r>
      <t xml:space="preserve">This workbook contains features that enable you to customize a Medical Rate Handout to accompany your Benefit Guide. Please follow the steps below to ensure you create a rate sheet using </t>
    </r>
    <r>
      <rPr>
        <b/>
        <sz val="11"/>
        <color rgb="FFC00000"/>
        <rFont val="Calibri"/>
        <family val="2"/>
        <scheme val="minor"/>
      </rPr>
      <t>the correct Rate Tier</t>
    </r>
    <r>
      <rPr>
        <b/>
        <sz val="11"/>
        <color theme="1"/>
        <rFont val="Calibri"/>
        <family val="2"/>
        <scheme val="minor"/>
      </rPr>
      <t>.</t>
    </r>
  </si>
  <si>
    <r>
      <t xml:space="preserve">IMPORTANT: Ensure to select the correct rate tier for </t>
    </r>
    <r>
      <rPr>
        <b/>
        <u/>
        <sz val="11"/>
        <color rgb="FFC00000"/>
        <rFont val="Calibri"/>
        <family val="2"/>
        <scheme val="minor"/>
      </rPr>
      <t>each school</t>
    </r>
    <r>
      <rPr>
        <b/>
        <sz val="11"/>
        <color rgb="FFC00000"/>
        <rFont val="Calibri"/>
        <family val="2"/>
        <scheme val="minor"/>
      </rPr>
      <t xml:space="preserve">. </t>
    </r>
  </si>
  <si>
    <t>Refer to your Proposal for your rate</t>
  </si>
  <si>
    <t>HIDE COLUMN</t>
  </si>
  <si>
    <t>Hide columns: D, E, J &amp; K before printing (EMPLOYER ONLY)</t>
  </si>
  <si>
    <t>Edit the name of the school in row 11 (Primrose School of/at XXX)</t>
  </si>
  <si>
    <t>Primrose School of/at XXX</t>
  </si>
  <si>
    <t>Effective January 1, 2027</t>
  </si>
  <si>
    <t>BCBS Dental - High</t>
  </si>
  <si>
    <t>BCBS Dental - Low</t>
  </si>
  <si>
    <t>Health Insurance Rates: Medical, Dental &amp; Vision</t>
  </si>
  <si>
    <t>D High</t>
  </si>
  <si>
    <t>D Low</t>
  </si>
  <si>
    <t>Vision</t>
  </si>
  <si>
    <t>BCBS TX HMO</t>
  </si>
  <si>
    <r>
      <t xml:space="preserve">Select your rate tier from the drop down box. The rate tiers range from 0.70 to 2.60. </t>
    </r>
    <r>
      <rPr>
        <b/>
        <sz val="11"/>
        <color rgb="FFC00000"/>
        <rFont val="Calibri"/>
        <family val="2"/>
        <scheme val="minor"/>
      </rPr>
      <t>Please refer to your Proposal FOR EACH SCHOOL to ensure you select the correct tier.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</si>
</sst>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1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90">
    <xf numFmtId="0" fontId="0" fillId="0" borderId="0" xfId="0"/>
    <xf numFmtId="0" fontId="0" fillId="0" borderId="0" xfId="0" applyAlignment="1">
      <alignment horizontal="left"/>
    </xf>
    <xf numFmtId="6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4" xfId="0" applyFont="1" applyBorder="1"/>
    <xf numFmtId="164" fontId="5" fillId="0" borderId="5" xfId="0" applyNumberFormat="1" applyFont="1" applyBorder="1"/>
    <xf numFmtId="164" fontId="5" fillId="0" borderId="6" xfId="0" applyNumberFormat="1" applyFont="1" applyBorder="1"/>
    <xf numFmtId="0" fontId="5" fillId="0" borderId="7" xfId="0" applyFont="1" applyBorder="1"/>
    <xf numFmtId="164" fontId="5" fillId="0" borderId="8" xfId="0" applyNumberFormat="1" applyFont="1" applyBorder="1"/>
    <xf numFmtId="164" fontId="5" fillId="0" borderId="9" xfId="0" applyNumberFormat="1" applyFont="1" applyBorder="1"/>
    <xf numFmtId="0" fontId="6" fillId="0" borderId="10" xfId="0" applyFont="1" applyBorder="1"/>
    <xf numFmtId="0" fontId="3" fillId="0" borderId="0" xfId="0" applyFont="1"/>
    <xf numFmtId="0" fontId="4" fillId="0" borderId="0" xfId="0" applyFont="1"/>
    <xf numFmtId="0" fontId="0" fillId="0" borderId="5" xfId="0" applyBorder="1" applyAlignment="1">
      <alignment horizontal="left" vertical="top"/>
    </xf>
    <xf numFmtId="6" fontId="0" fillId="0" borderId="5" xfId="0" applyNumberFormat="1" applyBorder="1" applyAlignment="1">
      <alignment horizontal="left" vertical="top"/>
    </xf>
    <xf numFmtId="9" fontId="0" fillId="0" borderId="5" xfId="0" applyNumberFormat="1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6" fontId="0" fillId="0" borderId="5" xfId="0" applyNumberFormat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/>
    </xf>
    <xf numFmtId="9" fontId="0" fillId="0" borderId="5" xfId="0" applyNumberFormat="1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5" fillId="0" borderId="11" xfId="0" applyFont="1" applyBorder="1" applyAlignment="1">
      <alignment horizontal="center" wrapText="1"/>
    </xf>
    <xf numFmtId="164" fontId="5" fillId="0" borderId="11" xfId="0" applyNumberFormat="1" applyFont="1" applyBorder="1"/>
    <xf numFmtId="164" fontId="5" fillId="0" borderId="15" xfId="0" applyNumberFormat="1" applyFont="1" applyBorder="1"/>
    <xf numFmtId="1" fontId="0" fillId="3" borderId="0" xfId="0" applyNumberFormat="1" applyFill="1"/>
    <xf numFmtId="10" fontId="0" fillId="3" borderId="0" xfId="0" applyNumberFormat="1" applyFill="1"/>
    <xf numFmtId="0" fontId="5" fillId="0" borderId="0" xfId="0" applyFont="1"/>
    <xf numFmtId="0" fontId="5" fillId="0" borderId="6" xfId="0" applyFont="1" applyBorder="1" applyAlignment="1">
      <alignment horizontal="center" wrapText="1"/>
    </xf>
    <xf numFmtId="0" fontId="0" fillId="3" borderId="0" xfId="0" applyFill="1"/>
    <xf numFmtId="49" fontId="6" fillId="0" borderId="10" xfId="0" applyNumberFormat="1" applyFont="1" applyBorder="1"/>
    <xf numFmtId="0" fontId="0" fillId="0" borderId="5" xfId="0" applyBorder="1"/>
    <xf numFmtId="164" fontId="0" fillId="0" borderId="5" xfId="0" applyNumberFormat="1" applyBorder="1"/>
    <xf numFmtId="0" fontId="0" fillId="0" borderId="0" xfId="0" applyProtection="1">
      <protection locked="0"/>
    </xf>
    <xf numFmtId="10" fontId="0" fillId="3" borderId="0" xfId="0" applyNumberFormat="1" applyFill="1" applyProtection="1">
      <protection locked="0"/>
    </xf>
    <xf numFmtId="0" fontId="7" fillId="0" borderId="0" xfId="0" applyFont="1" applyProtection="1">
      <protection locked="0"/>
    </xf>
    <xf numFmtId="2" fontId="0" fillId="3" borderId="0" xfId="0" applyNumberFormat="1" applyFill="1" applyProtection="1">
      <protection locked="0"/>
    </xf>
    <xf numFmtId="1" fontId="0" fillId="3" borderId="0" xfId="0" applyNumberFormat="1" applyFill="1" applyProtection="1">
      <protection locked="0"/>
    </xf>
    <xf numFmtId="0" fontId="5" fillId="0" borderId="0" xfId="0" applyFont="1" applyProtection="1">
      <protection locked="0"/>
    </xf>
    <xf numFmtId="0" fontId="0" fillId="3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4" xfId="0" applyFont="1" applyBorder="1" applyAlignment="1" applyProtection="1">
      <alignment wrapText="1"/>
      <protection locked="0"/>
    </xf>
    <xf numFmtId="0" fontId="5" fillId="0" borderId="5" xfId="0" applyFont="1" applyBorder="1" applyAlignment="1" applyProtection="1">
      <alignment horizontal="center" wrapText="1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4" xfId="0" applyFont="1" applyBorder="1" applyProtection="1">
      <protection locked="0"/>
    </xf>
    <xf numFmtId="164" fontId="5" fillId="0" borderId="5" xfId="0" applyNumberFormat="1" applyFont="1" applyBorder="1" applyProtection="1">
      <protection locked="0"/>
    </xf>
    <xf numFmtId="164" fontId="5" fillId="0" borderId="6" xfId="0" applyNumberFormat="1" applyFont="1" applyBorder="1" applyProtection="1">
      <protection locked="0"/>
    </xf>
    <xf numFmtId="0" fontId="5" fillId="0" borderId="7" xfId="0" applyFont="1" applyBorder="1" applyProtection="1">
      <protection locked="0"/>
    </xf>
    <xf numFmtId="164" fontId="5" fillId="0" borderId="8" xfId="0" applyNumberFormat="1" applyFont="1" applyBorder="1" applyProtection="1">
      <protection locked="0"/>
    </xf>
    <xf numFmtId="164" fontId="5" fillId="0" borderId="9" xfId="0" applyNumberFormat="1" applyFont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16" xfId="0" applyBorder="1"/>
    <xf numFmtId="0" fontId="0" fillId="0" borderId="10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0" xfId="0" applyAlignment="1" applyProtection="1">
      <alignment vertical="center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1" xfId="0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12" fillId="0" borderId="0" xfId="0" applyFont="1" applyAlignment="1" applyProtection="1">
      <alignment horizontal="left" indent="1"/>
      <protection locked="0"/>
    </xf>
    <xf numFmtId="164" fontId="0" fillId="0" borderId="0" xfId="0" applyNumberFormat="1"/>
    <xf numFmtId="0" fontId="13" fillId="0" borderId="0" xfId="0" applyFont="1" applyAlignment="1" applyProtection="1">
      <alignment horizontal="center" wrapText="1"/>
      <protection locked="0"/>
    </xf>
    <xf numFmtId="0" fontId="14" fillId="0" borderId="5" xfId="0" applyFont="1" applyBorder="1" applyAlignment="1">
      <alignment horizontal="center" wrapText="1"/>
    </xf>
    <xf numFmtId="0" fontId="0" fillId="0" borderId="23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0" fillId="0" borderId="2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5" xfId="0" applyBorder="1" applyAlignment="1">
      <alignment horizontal="center"/>
    </xf>
  </cellXfs>
  <cellStyles count="4">
    <cellStyle name="Comma 2" xfId="1" xr:uid="{670FBBD8-CEB6-4482-A57B-3AA0AF2C9FAF}"/>
    <cellStyle name="Normal" xfId="0" builtinId="0"/>
    <cellStyle name="Normal 2 5" xfId="3" xr:uid="{EEC0762D-02CF-4A70-87F9-CAF802C6270C}"/>
    <cellStyle name="Normal 42 2" xfId="2" xr:uid="{55065AF1-927A-40D5-BA62-7411693837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76201</xdr:colOff>
      <xdr:row>4</xdr:row>
      <xdr:rowOff>107863</xdr:rowOff>
    </xdr:from>
    <xdr:to>
      <xdr:col>7</xdr:col>
      <xdr:colOff>501739</xdr:colOff>
      <xdr:row>6</xdr:row>
      <xdr:rowOff>228601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C41C2F-55AC-E0E8-43B6-853366CA2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68262" y1="50293" x2="68262" y2="50293"/>
                      <a14:foregroundMark x1="60840" y1="40137" x2="60840" y2="40137"/>
                      <a14:foregroundMark x1="56152" y1="47168" x2="56152" y2="47168"/>
                      <a14:foregroundMark x1="56348" y1="39551" x2="56348" y2="39551"/>
                      <a14:foregroundMark x1="57324" y1="38379" x2="57324" y2="38379"/>
                      <a14:foregroundMark x1="43848" y1="45605" x2="43848" y2="45605"/>
                      <a14:foregroundMark x1="44629" y1="32324" x2="44629" y2="32324"/>
                      <a14:foregroundMark x1="40137" y1="36035" x2="40137" y2="36035"/>
                      <a14:foregroundMark x1="35645" y1="38965" x2="35645" y2="38965"/>
                      <a14:foregroundMark x1="42676" y1="39160" x2="42676" y2="39160"/>
                      <a14:foregroundMark x1="41113" y1="41699" x2="41113" y2="41699"/>
                      <a14:foregroundMark x1="33887" y1="42285" x2="33887" y2="42285"/>
                      <a14:foregroundMark x1="33496" y1="45996" x2="33496" y2="45996"/>
                      <a14:foregroundMark x1="35059" y1="50098" x2="35059" y2="50098"/>
                      <a14:foregroundMark x1="36035" y1="54004" x2="36035" y2="54004"/>
                      <a14:foregroundMark x1="45801" y1="55371" x2="45801" y2="55371"/>
                      <a14:foregroundMark x1="48926" y1="51465" x2="48926" y2="51465"/>
                      <a14:foregroundMark x1="57520" y1="52051" x2="57520" y2="52051"/>
                      <a14:foregroundMark x1="23730" y1="45605" x2="23730" y2="45605"/>
                      <a14:foregroundMark x1="24316" y1="45215" x2="24316" y2="45215"/>
                      <a14:foregroundMark x1="23145" y1="45020" x2="23145" y2="45020"/>
                      <a14:foregroundMark x1="24707" y1="41309" x2="24707" y2="41309"/>
                      <a14:foregroundMark x1="25293" y1="40918" x2="25293" y2="40918"/>
                      <a14:foregroundMark x1="24902" y1="40527" x2="24902" y2="40527"/>
                      <a14:foregroundMark x1="26270" y1="34473" x2="26270" y2="34473"/>
                      <a14:foregroundMark x1="28027" y1="32910" x2="28027" y2="32910"/>
                      <a14:foregroundMark x1="30176" y1="30469" x2="30176" y2="30469"/>
                      <a14:foregroundMark x1="33301" y1="28711" x2="33301" y2="28711"/>
                      <a14:foregroundMark x1="35254" y1="29297" x2="35254" y2="29297"/>
                      <a14:foregroundMark x1="37207" y1="24609" x2="37207" y2="24609"/>
                      <a14:foregroundMark x1="37988" y1="25000" x2="37988" y2="25000"/>
                      <a14:foregroundMark x1="41113" y1="23047" x2="41113" y2="23047"/>
                      <a14:foregroundMark x1="51074" y1="23438" x2="51074" y2="23438"/>
                      <a14:foregroundMark x1="55762" y1="24023" x2="55762" y2="24023"/>
                      <a14:foregroundMark x1="50879" y1="23242" x2="50879" y2="23242"/>
                      <a14:foregroundMark x1="59082" y1="24414" x2="59082" y2="24414"/>
                      <a14:foregroundMark x1="59863" y1="24414" x2="59863" y2="24414"/>
                      <a14:foregroundMark x1="63379" y1="26172" x2="63379" y2="26172"/>
                      <a14:foregroundMark x1="66895" y1="29102" x2="66895" y2="29102"/>
                      <a14:foregroundMark x1="74316" y1="37207" x2="74316" y2="37207"/>
                      <a14:foregroundMark x1="73926" y1="36621" x2="73926" y2="36621"/>
                      <a14:foregroundMark x1="75879" y1="40137" x2="75879" y2="40137"/>
                      <a14:foregroundMark x1="27637" y1="63965" x2="27637" y2="63965"/>
                      <a14:foregroundMark x1="29199" y1="67285" x2="29199" y2="67285"/>
                      <a14:foregroundMark x1="32715" y1="70801" x2="32715" y2="70801"/>
                      <a14:foregroundMark x1="42285" y1="73145" x2="42285" y2="73145"/>
                      <a14:foregroundMark x1="47754" y1="76270" x2="47754" y2="76270"/>
                      <a14:foregroundMark x1="47363" y1="76270" x2="47363" y2="76270"/>
                      <a14:foregroundMark x1="47363" y1="75488" x2="47363" y2="75488"/>
                      <a14:foregroundMark x1="59668" y1="75293" x2="59668" y2="75293"/>
                      <a14:foregroundMark x1="62988" y1="72949" x2="62988" y2="72949"/>
                      <a14:foregroundMark x1="66504" y1="69043" x2="66504" y2="69043"/>
                      <a14:foregroundMark x1="70020" y1="67480" x2="70020" y2="67480"/>
                      <a14:foregroundMark x1="55566" y1="38379" x2="55566" y2="38379"/>
                      <a14:foregroundMark x1="55566" y1="38379" x2="55566" y2="38379"/>
                      <a14:foregroundMark x1="57324" y1="37793" x2="57324" y2="37793"/>
                      <a14:foregroundMark x1="57910" y1="37793" x2="57910" y2="37793"/>
                      <a14:foregroundMark x1="58887" y1="37793" x2="58887" y2="37793"/>
                      <a14:foregroundMark x1="59082" y1="38770" x2="59082" y2="38770"/>
                      <a14:foregroundMark x1="57324" y1="40137" x2="57324" y2="40137"/>
                      <a14:foregroundMark x1="55371" y1="39355" x2="55371" y2="39355"/>
                      <a14:foregroundMark x1="53027" y1="38770" x2="53027" y2="38770"/>
                      <a14:foregroundMark x1="53809" y1="39355" x2="53809" y2="39355"/>
                      <a14:foregroundMark x1="56543" y1="37207" x2="56543" y2="37207"/>
                      <a14:foregroundMark x1="56934" y1="35449" x2="56934" y2="35449"/>
                      <a14:foregroundMark x1="59277" y1="37598" x2="59277" y2="37598"/>
                      <a14:foregroundMark x1="49512" y1="38965" x2="49512" y2="38965"/>
                      <a14:foregroundMark x1="45996" y1="45605" x2="45996" y2="45605"/>
                      <a14:foregroundMark x1="45996" y1="46387" x2="45996" y2="46387"/>
                      <a14:foregroundMark x1="46387" y1="51074" x2="46387" y2="51074"/>
                      <a14:foregroundMark x1="45801" y1="54590" x2="45801" y2="54590"/>
                      <a14:foregroundMark x1="37012" y1="53418" x2="37012" y2="53418"/>
                      <a14:foregroundMark x1="34277" y1="46582" x2="34277" y2="46582"/>
                      <a14:foregroundMark x1="62793" y1="26953" x2="62793" y2="2695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276601" y="679363"/>
          <a:ext cx="1301838" cy="1301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76201</xdr:colOff>
      <xdr:row>7</xdr:row>
      <xdr:rowOff>155488</xdr:rowOff>
    </xdr:from>
    <xdr:to>
      <xdr:col>8</xdr:col>
      <xdr:colOff>501739</xdr:colOff>
      <xdr:row>9</xdr:row>
      <xdr:rowOff>85726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4F48F5-9660-4EDA-863C-3D42E1D4E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68262" y1="50293" x2="68262" y2="50293"/>
                      <a14:foregroundMark x1="60840" y1="40137" x2="60840" y2="40137"/>
                      <a14:foregroundMark x1="56152" y1="47168" x2="56152" y2="47168"/>
                      <a14:foregroundMark x1="56348" y1="39551" x2="56348" y2="39551"/>
                      <a14:foregroundMark x1="57324" y1="38379" x2="57324" y2="38379"/>
                      <a14:foregroundMark x1="43848" y1="45605" x2="43848" y2="45605"/>
                      <a14:foregroundMark x1="44629" y1="32324" x2="44629" y2="32324"/>
                      <a14:foregroundMark x1="40137" y1="36035" x2="40137" y2="36035"/>
                      <a14:foregroundMark x1="35645" y1="38965" x2="35645" y2="38965"/>
                      <a14:foregroundMark x1="42676" y1="39160" x2="42676" y2="39160"/>
                      <a14:foregroundMark x1="41113" y1="41699" x2="41113" y2="41699"/>
                      <a14:foregroundMark x1="33887" y1="42285" x2="33887" y2="42285"/>
                      <a14:foregroundMark x1="33496" y1="45996" x2="33496" y2="45996"/>
                      <a14:foregroundMark x1="35059" y1="50098" x2="35059" y2="50098"/>
                      <a14:foregroundMark x1="36035" y1="54004" x2="36035" y2="54004"/>
                      <a14:foregroundMark x1="45801" y1="55371" x2="45801" y2="55371"/>
                      <a14:foregroundMark x1="48926" y1="51465" x2="48926" y2="51465"/>
                      <a14:foregroundMark x1="57520" y1="52051" x2="57520" y2="52051"/>
                      <a14:foregroundMark x1="23730" y1="45605" x2="23730" y2="45605"/>
                      <a14:foregroundMark x1="24316" y1="45215" x2="24316" y2="45215"/>
                      <a14:foregroundMark x1="23145" y1="45020" x2="23145" y2="45020"/>
                      <a14:foregroundMark x1="24707" y1="41309" x2="24707" y2="41309"/>
                      <a14:foregroundMark x1="25293" y1="40918" x2="25293" y2="40918"/>
                      <a14:foregroundMark x1="24902" y1="40527" x2="24902" y2="40527"/>
                      <a14:foregroundMark x1="26270" y1="34473" x2="26270" y2="34473"/>
                      <a14:foregroundMark x1="28027" y1="32910" x2="28027" y2="32910"/>
                      <a14:foregroundMark x1="30176" y1="30469" x2="30176" y2="30469"/>
                      <a14:foregroundMark x1="33301" y1="28711" x2="33301" y2="28711"/>
                      <a14:foregroundMark x1="35254" y1="29297" x2="35254" y2="29297"/>
                      <a14:foregroundMark x1="37207" y1="24609" x2="37207" y2="24609"/>
                      <a14:foregroundMark x1="37988" y1="25000" x2="37988" y2="25000"/>
                      <a14:foregroundMark x1="41113" y1="23047" x2="41113" y2="23047"/>
                      <a14:foregroundMark x1="51074" y1="23438" x2="51074" y2="23438"/>
                      <a14:foregroundMark x1="55762" y1="24023" x2="55762" y2="24023"/>
                      <a14:foregroundMark x1="50879" y1="23242" x2="50879" y2="23242"/>
                      <a14:foregroundMark x1="59082" y1="24414" x2="59082" y2="24414"/>
                      <a14:foregroundMark x1="59863" y1="24414" x2="59863" y2="24414"/>
                      <a14:foregroundMark x1="63379" y1="26172" x2="63379" y2="26172"/>
                      <a14:foregroundMark x1="66895" y1="29102" x2="66895" y2="29102"/>
                      <a14:foregroundMark x1="74316" y1="37207" x2="74316" y2="37207"/>
                      <a14:foregroundMark x1="73926" y1="36621" x2="73926" y2="36621"/>
                      <a14:foregroundMark x1="75879" y1="40137" x2="75879" y2="40137"/>
                      <a14:foregroundMark x1="27637" y1="63965" x2="27637" y2="63965"/>
                      <a14:foregroundMark x1="29199" y1="67285" x2="29199" y2="67285"/>
                      <a14:foregroundMark x1="32715" y1="70801" x2="32715" y2="70801"/>
                      <a14:foregroundMark x1="42285" y1="73145" x2="42285" y2="73145"/>
                      <a14:foregroundMark x1="47754" y1="76270" x2="47754" y2="76270"/>
                      <a14:foregroundMark x1="47363" y1="76270" x2="47363" y2="76270"/>
                      <a14:foregroundMark x1="47363" y1="75488" x2="47363" y2="75488"/>
                      <a14:foregroundMark x1="59668" y1="75293" x2="59668" y2="75293"/>
                      <a14:foregroundMark x1="62988" y1="72949" x2="62988" y2="72949"/>
                      <a14:foregroundMark x1="66504" y1="69043" x2="66504" y2="69043"/>
                      <a14:foregroundMark x1="70020" y1="67480" x2="70020" y2="67480"/>
                      <a14:foregroundMark x1="55566" y1="38379" x2="55566" y2="38379"/>
                      <a14:foregroundMark x1="55566" y1="38379" x2="55566" y2="38379"/>
                      <a14:foregroundMark x1="57324" y1="37793" x2="57324" y2="37793"/>
                      <a14:foregroundMark x1="57910" y1="37793" x2="57910" y2="37793"/>
                      <a14:foregroundMark x1="58887" y1="37793" x2="58887" y2="37793"/>
                      <a14:foregroundMark x1="59082" y1="38770" x2="59082" y2="38770"/>
                      <a14:foregroundMark x1="57324" y1="40137" x2="57324" y2="40137"/>
                      <a14:foregroundMark x1="55371" y1="39355" x2="55371" y2="39355"/>
                      <a14:foregroundMark x1="53027" y1="38770" x2="53027" y2="38770"/>
                      <a14:foregroundMark x1="53809" y1="39355" x2="53809" y2="39355"/>
                      <a14:foregroundMark x1="56543" y1="37207" x2="56543" y2="37207"/>
                      <a14:foregroundMark x1="56934" y1="35449" x2="56934" y2="35449"/>
                      <a14:foregroundMark x1="59277" y1="37598" x2="59277" y2="37598"/>
                      <a14:foregroundMark x1="49512" y1="38965" x2="49512" y2="38965"/>
                      <a14:foregroundMark x1="45996" y1="45605" x2="45996" y2="45605"/>
                      <a14:foregroundMark x1="45996" y1="46387" x2="45996" y2="46387"/>
                      <a14:foregroundMark x1="46387" y1="51074" x2="46387" y2="51074"/>
                      <a14:foregroundMark x1="45801" y1="54590" x2="45801" y2="54590"/>
                      <a14:foregroundMark x1="37012" y1="53418" x2="37012" y2="53418"/>
                      <a14:foregroundMark x1="34277" y1="46582" x2="34277" y2="46582"/>
                      <a14:foregroundMark x1="62793" y1="26953" x2="62793" y2="2695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390776" y="1536613"/>
          <a:ext cx="1301838" cy="1301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U55"/>
  <sheetViews>
    <sheetView showGridLines="0" workbookViewId="0">
      <selection activeCell="C12" sqref="C12"/>
    </sheetView>
  </sheetViews>
  <sheetFormatPr defaultRowHeight="15" x14ac:dyDescent="0.25"/>
  <cols>
    <col min="1" max="1" width="3.85546875" customWidth="1"/>
    <col min="2" max="2" width="12.42578125" customWidth="1"/>
    <col min="3" max="5" width="10.5703125" customWidth="1"/>
    <col min="6" max="6" width="9.42578125" customWidth="1"/>
    <col min="7" max="7" width="3.7109375" customWidth="1"/>
    <col min="8" max="8" width="12.42578125" customWidth="1"/>
    <col min="9" max="11" width="10.5703125" customWidth="1"/>
    <col min="12" max="12" width="9.42578125" customWidth="1"/>
    <col min="13" max="14" width="1.7109375" customWidth="1"/>
    <col min="15" max="15" width="17.5703125" hidden="1" customWidth="1"/>
    <col min="16" max="16" width="10.5703125" hidden="1" customWidth="1"/>
    <col min="17" max="17" width="12" hidden="1" customWidth="1"/>
    <col min="18" max="18" width="3.85546875" hidden="1" customWidth="1"/>
    <col min="19" max="19" width="12.140625" hidden="1" customWidth="1"/>
    <col min="20" max="20" width="10.5703125" hidden="1" customWidth="1"/>
    <col min="21" max="21" width="12" hidden="1" customWidth="1"/>
    <col min="22" max="22" width="0" hidden="1" customWidth="1"/>
  </cols>
  <sheetData>
    <row r="2" spans="1:21" x14ac:dyDescent="0.25">
      <c r="A2" t="s">
        <v>65</v>
      </c>
      <c r="E2" s="28">
        <v>0.6</v>
      </c>
    </row>
    <row r="3" spans="1:21" x14ac:dyDescent="0.25">
      <c r="A3" t="s">
        <v>66</v>
      </c>
      <c r="E3" s="27">
        <v>26</v>
      </c>
    </row>
    <row r="4" spans="1:21" x14ac:dyDescent="0.25">
      <c r="A4" t="s">
        <v>76</v>
      </c>
      <c r="E4" s="27" t="s">
        <v>78</v>
      </c>
    </row>
    <row r="5" spans="1:21" x14ac:dyDescent="0.25">
      <c r="A5" s="31" t="s">
        <v>68</v>
      </c>
      <c r="B5" s="31"/>
      <c r="C5" s="31"/>
      <c r="D5" s="31"/>
    </row>
    <row r="6" spans="1:21" ht="78" customHeight="1" x14ac:dyDescent="0.25"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O6" s="78"/>
      <c r="P6" s="78"/>
      <c r="Q6" s="78"/>
      <c r="R6" s="78"/>
      <c r="S6" s="78"/>
      <c r="T6" s="78"/>
      <c r="U6" s="78"/>
    </row>
    <row r="7" spans="1:21" ht="18.75" x14ac:dyDescent="0.3">
      <c r="B7" s="79" t="s">
        <v>67</v>
      </c>
      <c r="C7" s="79"/>
      <c r="D7" s="79"/>
      <c r="E7" s="79"/>
      <c r="F7" s="79"/>
      <c r="G7" s="79"/>
      <c r="H7" s="79"/>
      <c r="I7" s="79"/>
      <c r="J7" s="79"/>
      <c r="K7" s="79"/>
      <c r="L7" s="79"/>
      <c r="O7" s="79" t="s">
        <v>9</v>
      </c>
      <c r="P7" s="79"/>
      <c r="Q7" s="79"/>
      <c r="R7" s="79"/>
      <c r="S7" s="79"/>
      <c r="T7" s="79"/>
      <c r="U7" s="79"/>
    </row>
    <row r="8" spans="1:21" x14ac:dyDescent="0.25">
      <c r="B8" s="80" t="s">
        <v>60</v>
      </c>
      <c r="C8" s="80"/>
      <c r="D8" s="80"/>
      <c r="E8" s="80"/>
      <c r="F8" s="80"/>
      <c r="G8" s="80"/>
      <c r="H8" s="80"/>
      <c r="I8" s="80"/>
      <c r="J8" s="80"/>
      <c r="K8" s="80"/>
      <c r="L8" s="80"/>
      <c r="O8" s="80" t="s">
        <v>59</v>
      </c>
      <c r="P8" s="80"/>
      <c r="Q8" s="80"/>
      <c r="R8" s="80"/>
      <c r="S8" s="80"/>
      <c r="T8" s="80"/>
      <c r="U8" s="80"/>
    </row>
    <row r="9" spans="1:21" ht="12" customHeight="1" thickBot="1" x14ac:dyDescent="0.3"/>
    <row r="10" spans="1:21" x14ac:dyDescent="0.25">
      <c r="B10" s="75" t="s">
        <v>69</v>
      </c>
      <c r="C10" s="81"/>
      <c r="D10" s="76"/>
      <c r="E10" s="82"/>
      <c r="F10" s="77"/>
      <c r="H10" s="75" t="s">
        <v>74</v>
      </c>
      <c r="I10" s="76"/>
      <c r="J10" s="82"/>
      <c r="K10" s="82"/>
      <c r="L10" s="77"/>
      <c r="O10" s="75" t="s">
        <v>73</v>
      </c>
      <c r="P10" s="76"/>
      <c r="Q10" s="77"/>
      <c r="S10" s="75" t="s">
        <v>72</v>
      </c>
      <c r="T10" s="76"/>
      <c r="U10" s="77"/>
    </row>
    <row r="11" spans="1:21" ht="36.75" x14ac:dyDescent="0.25">
      <c r="A11" s="3"/>
      <c r="B11" s="4" t="s">
        <v>61</v>
      </c>
      <c r="C11" s="5" t="s">
        <v>62</v>
      </c>
      <c r="D11" s="5" t="s">
        <v>63</v>
      </c>
      <c r="E11" s="24" t="s">
        <v>64</v>
      </c>
      <c r="F11" s="30" t="s">
        <v>28</v>
      </c>
      <c r="H11" s="4" t="s">
        <v>61</v>
      </c>
      <c r="I11" s="5" t="s">
        <v>62</v>
      </c>
      <c r="J11" s="5" t="s">
        <v>63</v>
      </c>
      <c r="K11" s="24" t="s">
        <v>64</v>
      </c>
      <c r="L11" s="30" t="s">
        <v>28</v>
      </c>
      <c r="M11" s="3"/>
      <c r="O11" s="4" t="s">
        <v>24</v>
      </c>
      <c r="P11" s="5" t="s">
        <v>10</v>
      </c>
      <c r="Q11" s="6" t="s">
        <v>28</v>
      </c>
      <c r="S11" s="4" t="s">
        <v>25</v>
      </c>
      <c r="T11" s="5" t="s">
        <v>10</v>
      </c>
      <c r="U11" s="6" t="s">
        <v>28</v>
      </c>
    </row>
    <row r="12" spans="1:21" x14ac:dyDescent="0.25">
      <c r="B12" s="7" t="s">
        <v>11</v>
      </c>
      <c r="C12" s="8">
        <v>749.60800000000006</v>
      </c>
      <c r="D12" s="8">
        <f>C12*$E$2</f>
        <v>449.76480000000004</v>
      </c>
      <c r="E12" s="25">
        <f>C12-D12</f>
        <v>299.84320000000002</v>
      </c>
      <c r="F12" s="9">
        <f>SUM(E12*12)/$E$3</f>
        <v>138.38916923076926</v>
      </c>
      <c r="H12" s="7" t="s">
        <v>11</v>
      </c>
      <c r="I12" s="8">
        <v>781.26400000000001</v>
      </c>
      <c r="J12" s="25">
        <f t="shared" ref="J12:J15" si="0">$D$12</f>
        <v>449.76480000000004</v>
      </c>
      <c r="K12" s="25">
        <f>I12-J12</f>
        <v>331.49919999999997</v>
      </c>
      <c r="L12" s="9">
        <f>SUM(K12*12)/$E$3</f>
        <v>152.99963076923075</v>
      </c>
      <c r="O12" s="7" t="s">
        <v>11</v>
      </c>
      <c r="P12" s="8">
        <v>568.50500000000011</v>
      </c>
      <c r="Q12" s="9">
        <v>284.25250000000005</v>
      </c>
      <c r="S12" s="7" t="s">
        <v>11</v>
      </c>
      <c r="T12" s="8">
        <v>499.14499999999998</v>
      </c>
      <c r="U12" s="9">
        <v>249.57249999999999</v>
      </c>
    </row>
    <row r="13" spans="1:21" x14ac:dyDescent="0.25">
      <c r="B13" s="7" t="s">
        <v>12</v>
      </c>
      <c r="C13" s="8">
        <v>1411.684</v>
      </c>
      <c r="D13" s="8">
        <f>$D$12</f>
        <v>449.76480000000004</v>
      </c>
      <c r="E13" s="25">
        <f t="shared" ref="E13:E15" si="1">C13-D13</f>
        <v>961.91919999999993</v>
      </c>
      <c r="F13" s="9">
        <f>SUM(E13*12)/$E$3</f>
        <v>443.96270769230767</v>
      </c>
      <c r="H13" s="7" t="s">
        <v>12</v>
      </c>
      <c r="I13" s="8">
        <v>1472.86</v>
      </c>
      <c r="J13" s="25">
        <f t="shared" si="0"/>
        <v>449.76480000000004</v>
      </c>
      <c r="K13" s="25">
        <f t="shared" ref="K13:K15" si="2">I13-J13</f>
        <v>1023.0951999999999</v>
      </c>
      <c r="L13" s="9">
        <f>SUM(K13*12)/$E$3</f>
        <v>472.19778461538459</v>
      </c>
      <c r="O13" s="7" t="s">
        <v>12</v>
      </c>
      <c r="P13" s="8">
        <v>1742.9250000000002</v>
      </c>
      <c r="Q13" s="9">
        <v>871.46250000000009</v>
      </c>
      <c r="S13" s="7" t="s">
        <v>12</v>
      </c>
      <c r="T13" s="8">
        <v>1597.2550000000001</v>
      </c>
      <c r="U13" s="9">
        <v>798.62750000000005</v>
      </c>
    </row>
    <row r="14" spans="1:21" x14ac:dyDescent="0.25">
      <c r="B14" s="7" t="s">
        <v>13</v>
      </c>
      <c r="C14" s="8">
        <v>1356.328</v>
      </c>
      <c r="D14" s="8">
        <f>$D$12</f>
        <v>449.76480000000004</v>
      </c>
      <c r="E14" s="25">
        <f t="shared" si="1"/>
        <v>906.56319999999994</v>
      </c>
      <c r="F14" s="9">
        <f>SUM(E14*12)/$E$3</f>
        <v>418.41378461538454</v>
      </c>
      <c r="H14" s="7" t="s">
        <v>13</v>
      </c>
      <c r="I14" s="8">
        <v>1415.0439999999999</v>
      </c>
      <c r="J14" s="25">
        <f t="shared" si="0"/>
        <v>449.76480000000004</v>
      </c>
      <c r="K14" s="25">
        <f t="shared" si="2"/>
        <v>965.27919999999983</v>
      </c>
      <c r="L14" s="9">
        <f>SUM(K14*12)/$E$3</f>
        <v>445.51347692307684</v>
      </c>
      <c r="O14" s="7" t="s">
        <v>13</v>
      </c>
      <c r="P14" s="8">
        <v>1582.7750000000001</v>
      </c>
      <c r="Q14" s="9">
        <v>791.38750000000005</v>
      </c>
      <c r="S14" s="7" t="s">
        <v>13</v>
      </c>
      <c r="T14" s="8">
        <v>1447.5150000000001</v>
      </c>
      <c r="U14" s="9">
        <v>723.75750000000005</v>
      </c>
    </row>
    <row r="15" spans="1:21" ht="15.75" thickBot="1" x14ac:dyDescent="0.3">
      <c r="B15" s="10" t="s">
        <v>8</v>
      </c>
      <c r="C15" s="11">
        <v>2076.58</v>
      </c>
      <c r="D15" s="11">
        <f>$D$12</f>
        <v>449.76480000000004</v>
      </c>
      <c r="E15" s="26">
        <f t="shared" si="1"/>
        <v>1626.8152</v>
      </c>
      <c r="F15" s="12">
        <f>SUM(E15*12)/$E$3</f>
        <v>750.83778461538463</v>
      </c>
      <c r="H15" s="10" t="s">
        <v>8</v>
      </c>
      <c r="I15" s="11">
        <v>2167.4199999999996</v>
      </c>
      <c r="J15" s="26">
        <f t="shared" si="0"/>
        <v>449.76480000000004</v>
      </c>
      <c r="K15" s="26">
        <f t="shared" si="2"/>
        <v>1717.6551999999997</v>
      </c>
      <c r="L15" s="12">
        <f>SUM(K15*12)/$E$3</f>
        <v>792.76393846153837</v>
      </c>
      <c r="O15" s="10" t="s">
        <v>8</v>
      </c>
      <c r="P15" s="11">
        <v>2757.1950000000002</v>
      </c>
      <c r="Q15" s="12">
        <v>1378.5975000000001</v>
      </c>
      <c r="S15" s="10" t="s">
        <v>8</v>
      </c>
      <c r="T15" s="11">
        <v>2545.625</v>
      </c>
      <c r="U15" s="12">
        <v>1272.8125</v>
      </c>
    </row>
    <row r="16" spans="1:21" ht="15.75" thickBot="1" x14ac:dyDescent="0.3"/>
    <row r="17" spans="2:21" x14ac:dyDescent="0.25">
      <c r="B17" s="75" t="s">
        <v>70</v>
      </c>
      <c r="C17" s="81"/>
      <c r="D17" s="76"/>
      <c r="E17" s="82"/>
      <c r="F17" s="77"/>
      <c r="H17" s="75" t="s">
        <v>71</v>
      </c>
      <c r="I17" s="76"/>
      <c r="J17" s="82"/>
      <c r="K17" s="82"/>
      <c r="L17" s="77"/>
      <c r="O17" s="75" t="s">
        <v>14</v>
      </c>
      <c r="P17" s="76"/>
      <c r="Q17" s="77"/>
      <c r="S17" s="75" t="s">
        <v>15</v>
      </c>
      <c r="T17" s="76"/>
      <c r="U17" s="77"/>
    </row>
    <row r="18" spans="2:21" ht="36.75" x14ac:dyDescent="0.25">
      <c r="B18" s="4" t="s">
        <v>61</v>
      </c>
      <c r="C18" s="5" t="s">
        <v>62</v>
      </c>
      <c r="D18" s="5" t="s">
        <v>63</v>
      </c>
      <c r="E18" s="24" t="s">
        <v>64</v>
      </c>
      <c r="F18" s="30" t="s">
        <v>28</v>
      </c>
      <c r="H18" s="4" t="s">
        <v>61</v>
      </c>
      <c r="I18" s="5" t="s">
        <v>62</v>
      </c>
      <c r="J18" s="5" t="s">
        <v>63</v>
      </c>
      <c r="K18" s="24" t="s">
        <v>64</v>
      </c>
      <c r="L18" s="30" t="s">
        <v>28</v>
      </c>
      <c r="O18" s="4" t="s">
        <v>26</v>
      </c>
      <c r="P18" s="5" t="s">
        <v>10</v>
      </c>
      <c r="Q18" s="6" t="s">
        <v>28</v>
      </c>
      <c r="S18" s="4" t="s">
        <v>27</v>
      </c>
      <c r="T18" s="5" t="s">
        <v>10</v>
      </c>
      <c r="U18" s="6" t="s">
        <v>28</v>
      </c>
    </row>
    <row r="19" spans="2:21" x14ac:dyDescent="0.25">
      <c r="B19" s="7" t="s">
        <v>11</v>
      </c>
      <c r="C19" s="8">
        <v>927.00399999999991</v>
      </c>
      <c r="D19" s="8">
        <f t="shared" ref="D19:D22" si="3">$D$12</f>
        <v>449.76480000000004</v>
      </c>
      <c r="E19" s="25">
        <f>C19-D19</f>
        <v>477.23919999999987</v>
      </c>
      <c r="F19" s="9">
        <f>SUM(E19*12)/$E$3</f>
        <v>220.26424615384607</v>
      </c>
      <c r="H19" s="7" t="s">
        <v>11</v>
      </c>
      <c r="I19" s="8">
        <v>1034.6199999999999</v>
      </c>
      <c r="J19" s="25">
        <f>$D$12</f>
        <v>449.76480000000004</v>
      </c>
      <c r="K19" s="25">
        <f>I19-J19</f>
        <v>584.85519999999985</v>
      </c>
      <c r="L19" s="9">
        <f>SUM(K19*12)/$E$3</f>
        <v>269.93316923076912</v>
      </c>
      <c r="O19" s="7" t="s">
        <v>11</v>
      </c>
      <c r="P19" s="8">
        <v>37.71</v>
      </c>
      <c r="Q19" s="9">
        <v>18.855</v>
      </c>
      <c r="S19" s="7" t="s">
        <v>11</v>
      </c>
      <c r="T19" s="8">
        <v>8.2799999999999994</v>
      </c>
      <c r="U19" s="9">
        <v>4.1399999999999997</v>
      </c>
    </row>
    <row r="20" spans="2:21" x14ac:dyDescent="0.25">
      <c r="B20" s="7" t="s">
        <v>12</v>
      </c>
      <c r="C20" s="8">
        <v>1754.5719999999999</v>
      </c>
      <c r="D20" s="8">
        <f t="shared" si="3"/>
        <v>449.76480000000004</v>
      </c>
      <c r="E20" s="25">
        <f t="shared" ref="E20:E22" si="4">C20-D20</f>
        <v>1304.8071999999997</v>
      </c>
      <c r="F20" s="9">
        <f>SUM(E20*12)/$E$3</f>
        <v>602.21870769230759</v>
      </c>
      <c r="H20" s="7" t="s">
        <v>12</v>
      </c>
      <c r="I20" s="8">
        <v>1962.604</v>
      </c>
      <c r="J20" s="25">
        <f t="shared" ref="J20:J22" si="5">$D$12</f>
        <v>449.76480000000004</v>
      </c>
      <c r="K20" s="25">
        <f t="shared" ref="K20:K22" si="6">I20-J20</f>
        <v>1512.8391999999999</v>
      </c>
      <c r="L20" s="9">
        <f>SUM(K20*12)/$E$3</f>
        <v>698.23347692307675</v>
      </c>
      <c r="O20" s="7" t="s">
        <v>12</v>
      </c>
      <c r="P20" s="8">
        <v>85.24</v>
      </c>
      <c r="Q20" s="9">
        <v>42.62</v>
      </c>
      <c r="S20" s="7" t="s">
        <v>12</v>
      </c>
      <c r="T20" s="8">
        <v>16.559999999999999</v>
      </c>
      <c r="U20" s="9">
        <v>8.2799999999999994</v>
      </c>
    </row>
    <row r="21" spans="2:21" x14ac:dyDescent="0.25">
      <c r="B21" s="7" t="s">
        <v>13</v>
      </c>
      <c r="C21" s="8">
        <v>1685.38</v>
      </c>
      <c r="D21" s="8">
        <f t="shared" si="3"/>
        <v>449.76480000000004</v>
      </c>
      <c r="E21" s="25">
        <f t="shared" si="4"/>
        <v>1235.6152000000002</v>
      </c>
      <c r="F21" s="9">
        <f>SUM(E21*12)/$E$3</f>
        <v>570.28393846153858</v>
      </c>
      <c r="H21" s="7" t="s">
        <v>13</v>
      </c>
      <c r="I21" s="8">
        <v>1885.0119999999999</v>
      </c>
      <c r="J21" s="25">
        <f t="shared" si="5"/>
        <v>449.76480000000004</v>
      </c>
      <c r="K21" s="25">
        <f t="shared" si="6"/>
        <v>1435.2471999999998</v>
      </c>
      <c r="L21" s="9">
        <f>SUM(K21*12)/$E$3</f>
        <v>662.42178461538447</v>
      </c>
      <c r="O21" s="7" t="s">
        <v>13</v>
      </c>
      <c r="P21" s="8">
        <v>72.569999999999993</v>
      </c>
      <c r="Q21" s="9">
        <v>36.284999999999997</v>
      </c>
      <c r="S21" s="7" t="s">
        <v>13</v>
      </c>
      <c r="T21" s="8">
        <v>15.73</v>
      </c>
      <c r="U21" s="9">
        <v>7.8650000000000002</v>
      </c>
    </row>
    <row r="22" spans="2:21" ht="15.75" thickBot="1" x14ac:dyDescent="0.3">
      <c r="B22" s="10" t="s">
        <v>8</v>
      </c>
      <c r="C22" s="11">
        <v>2585.6919999999996</v>
      </c>
      <c r="D22" s="11">
        <f t="shared" si="3"/>
        <v>449.76480000000004</v>
      </c>
      <c r="E22" s="26">
        <f t="shared" si="4"/>
        <v>2135.9271999999996</v>
      </c>
      <c r="F22" s="12">
        <f>SUM(E22*12)/$E$3</f>
        <v>985.81255384615361</v>
      </c>
      <c r="H22" s="10" t="s">
        <v>8</v>
      </c>
      <c r="I22" s="11">
        <v>2894.5479999999998</v>
      </c>
      <c r="J22" s="26">
        <f t="shared" si="5"/>
        <v>449.76480000000004</v>
      </c>
      <c r="K22" s="26">
        <f t="shared" si="6"/>
        <v>2444.7831999999999</v>
      </c>
      <c r="L22" s="12">
        <f>SUM(K22*12)/$E$3</f>
        <v>1128.3614769230769</v>
      </c>
      <c r="O22" s="10" t="s">
        <v>8</v>
      </c>
      <c r="P22" s="11">
        <v>121.53</v>
      </c>
      <c r="Q22" s="12">
        <v>60.765000000000001</v>
      </c>
      <c r="S22" s="10" t="s">
        <v>8</v>
      </c>
      <c r="T22" s="11">
        <v>24.72</v>
      </c>
      <c r="U22" s="12">
        <v>12.36</v>
      </c>
    </row>
    <row r="23" spans="2:21" ht="6.75" customHeight="1" x14ac:dyDescent="0.25">
      <c r="B23" s="32"/>
      <c r="O23" s="13" t="s">
        <v>16</v>
      </c>
    </row>
    <row r="24" spans="2:21" x14ac:dyDescent="0.25">
      <c r="B24" s="29" t="str">
        <f>CONCATENATE("*Per paycheck rates are based on a ",E4," payroll basis.")</f>
        <v>*Per paycheck rates are based on a bi-weekly payroll basis.</v>
      </c>
    </row>
    <row r="53" spans="3:3" hidden="1" x14ac:dyDescent="0.25">
      <c r="C53" t="s">
        <v>77</v>
      </c>
    </row>
    <row r="54" spans="3:3" hidden="1" x14ac:dyDescent="0.25">
      <c r="C54" t="s">
        <v>78</v>
      </c>
    </row>
    <row r="55" spans="3:3" hidden="1" x14ac:dyDescent="0.25">
      <c r="C55" t="s">
        <v>75</v>
      </c>
    </row>
  </sheetData>
  <mergeCells count="14">
    <mergeCell ref="B17:F17"/>
    <mergeCell ref="H17:L17"/>
    <mergeCell ref="B6:L6"/>
    <mergeCell ref="B7:L7"/>
    <mergeCell ref="B8:L8"/>
    <mergeCell ref="B10:F10"/>
    <mergeCell ref="H10:L10"/>
    <mergeCell ref="O17:Q17"/>
    <mergeCell ref="S17:U17"/>
    <mergeCell ref="O6:U6"/>
    <mergeCell ref="O7:U7"/>
    <mergeCell ref="O8:U8"/>
    <mergeCell ref="O10:Q10"/>
    <mergeCell ref="S10:U10"/>
  </mergeCells>
  <dataValidations count="1">
    <dataValidation type="list" allowBlank="1" showInputMessage="1" showErrorMessage="1" sqref="E4" xr:uid="{79A51FF0-1B2B-4D2D-8AFE-07AD0DEF2D32}">
      <formula1>$C$53:$C$55</formula1>
    </dataValidation>
  </dataValidations>
  <printOptions horizontalCentered="1"/>
  <pageMargins left="0.25" right="0.25" top="0.5" bottom="0.5" header="0.3" footer="0.3"/>
  <pageSetup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CA07D-F6CF-4617-8002-8C7C8DC03396}">
  <dimension ref="B1:H16"/>
  <sheetViews>
    <sheetView showGridLines="0" zoomScale="120" zoomScaleNormal="120" workbookViewId="0"/>
  </sheetViews>
  <sheetFormatPr defaultRowHeight="15" x14ac:dyDescent="0.25"/>
  <cols>
    <col min="2" max="2" width="4.7109375" customWidth="1"/>
    <col min="4" max="4" width="39.85546875" customWidth="1"/>
    <col min="8" max="8" width="4.5703125" customWidth="1"/>
  </cols>
  <sheetData>
    <row r="1" spans="2:8" ht="15.75" thickBot="1" x14ac:dyDescent="0.3"/>
    <row r="2" spans="2:8" x14ac:dyDescent="0.25">
      <c r="B2" s="53"/>
      <c r="C2" s="54"/>
      <c r="D2" s="54"/>
      <c r="E2" s="54"/>
      <c r="F2" s="54"/>
      <c r="G2" s="54"/>
      <c r="H2" s="55"/>
    </row>
    <row r="3" spans="2:8" ht="23.25" x14ac:dyDescent="0.35">
      <c r="B3" s="56"/>
      <c r="C3" s="70" t="s">
        <v>96</v>
      </c>
      <c r="D3" s="70"/>
      <c r="E3" s="70"/>
      <c r="F3" s="70"/>
      <c r="G3" s="70"/>
      <c r="H3" s="57"/>
    </row>
    <row r="4" spans="2:8" x14ac:dyDescent="0.25">
      <c r="B4" s="56"/>
      <c r="H4" s="57"/>
    </row>
    <row r="5" spans="2:8" ht="49.5" customHeight="1" x14ac:dyDescent="0.25">
      <c r="B5" s="56"/>
      <c r="C5" s="71" t="s">
        <v>103</v>
      </c>
      <c r="D5" s="71"/>
      <c r="E5" s="71"/>
      <c r="F5" s="71"/>
      <c r="G5" s="71"/>
      <c r="H5" s="57"/>
    </row>
    <row r="6" spans="2:8" ht="8.25" customHeight="1" x14ac:dyDescent="0.25">
      <c r="B6" s="56"/>
      <c r="H6" s="57"/>
    </row>
    <row r="7" spans="2:8" ht="30.75" customHeight="1" x14ac:dyDescent="0.25">
      <c r="B7" s="56"/>
      <c r="C7" s="72" t="s">
        <v>97</v>
      </c>
      <c r="D7" s="72"/>
      <c r="E7" s="72"/>
      <c r="F7" s="72"/>
      <c r="G7" s="72"/>
      <c r="H7" s="57"/>
    </row>
    <row r="8" spans="2:8" x14ac:dyDescent="0.25">
      <c r="B8" s="56"/>
      <c r="C8" s="73" t="s">
        <v>104</v>
      </c>
      <c r="D8" s="73"/>
      <c r="E8" s="73"/>
      <c r="F8" s="73"/>
      <c r="G8" s="73"/>
      <c r="H8" s="57"/>
    </row>
    <row r="9" spans="2:8" x14ac:dyDescent="0.25">
      <c r="B9" s="56"/>
      <c r="H9" s="57"/>
    </row>
    <row r="10" spans="2:8" ht="32.25" customHeight="1" thickBot="1" x14ac:dyDescent="0.3">
      <c r="B10" s="56"/>
      <c r="C10" s="62" t="s">
        <v>79</v>
      </c>
      <c r="D10" s="74" t="s">
        <v>98</v>
      </c>
      <c r="E10" s="74"/>
      <c r="F10" s="74"/>
      <c r="G10" s="74"/>
      <c r="H10" s="57"/>
    </row>
    <row r="11" spans="2:8" ht="53.25" customHeight="1" thickBot="1" x14ac:dyDescent="0.3">
      <c r="B11" s="56"/>
      <c r="C11" s="63" t="s">
        <v>80</v>
      </c>
      <c r="D11" s="68" t="s">
        <v>118</v>
      </c>
      <c r="E11" s="68"/>
      <c r="F11" s="68"/>
      <c r="G11" s="68"/>
      <c r="H11" s="57"/>
    </row>
    <row r="12" spans="2:8" ht="32.25" customHeight="1" thickBot="1" x14ac:dyDescent="0.3">
      <c r="B12" s="56"/>
      <c r="C12" s="63" t="s">
        <v>81</v>
      </c>
      <c r="D12" s="68" t="s">
        <v>101</v>
      </c>
      <c r="E12" s="68"/>
      <c r="F12" s="68"/>
      <c r="G12" s="68"/>
      <c r="H12" s="57"/>
    </row>
    <row r="13" spans="2:8" ht="32.25" customHeight="1" thickBot="1" x14ac:dyDescent="0.3">
      <c r="B13" s="56"/>
      <c r="C13" s="63" t="s">
        <v>82</v>
      </c>
      <c r="D13" s="68" t="s">
        <v>102</v>
      </c>
      <c r="E13" s="68"/>
      <c r="F13" s="68"/>
      <c r="G13" s="68"/>
      <c r="H13" s="57"/>
    </row>
    <row r="14" spans="2:8" ht="32.25" customHeight="1" thickBot="1" x14ac:dyDescent="0.3">
      <c r="B14" s="56"/>
      <c r="C14" s="63" t="s">
        <v>83</v>
      </c>
      <c r="D14" s="68" t="s">
        <v>108</v>
      </c>
      <c r="E14" s="68"/>
      <c r="F14" s="68"/>
      <c r="G14" s="68"/>
      <c r="H14" s="57"/>
    </row>
    <row r="15" spans="2:8" ht="32.25" customHeight="1" x14ac:dyDescent="0.25">
      <c r="B15" s="56"/>
      <c r="C15" s="58" t="s">
        <v>100</v>
      </c>
      <c r="D15" s="69" t="s">
        <v>107</v>
      </c>
      <c r="E15" s="69"/>
      <c r="F15" s="69"/>
      <c r="G15" s="69"/>
      <c r="H15" s="57"/>
    </row>
    <row r="16" spans="2:8" ht="15.75" thickBot="1" x14ac:dyDescent="0.3">
      <c r="B16" s="59"/>
      <c r="C16" s="60"/>
      <c r="D16" s="60"/>
      <c r="E16" s="60"/>
      <c r="F16" s="60"/>
      <c r="G16" s="60"/>
      <c r="H16" s="61"/>
    </row>
  </sheetData>
  <mergeCells count="10">
    <mergeCell ref="D13:G13"/>
    <mergeCell ref="D14:G14"/>
    <mergeCell ref="D15:G15"/>
    <mergeCell ref="C3:G3"/>
    <mergeCell ref="C5:G5"/>
    <mergeCell ref="C7:G7"/>
    <mergeCell ref="C8:G8"/>
    <mergeCell ref="D10:G10"/>
    <mergeCell ref="D11:G11"/>
    <mergeCell ref="D12:G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C4B96-7679-447C-9B07-C395A807B40E}">
  <sheetPr>
    <pageSetUpPr fitToPage="1"/>
  </sheetPr>
  <dimension ref="A2:V43"/>
  <sheetViews>
    <sheetView showGridLines="0" tabSelected="1" zoomScaleNormal="100" workbookViewId="0">
      <selection activeCell="F20" sqref="F20"/>
    </sheetView>
  </sheetViews>
  <sheetFormatPr defaultColWidth="9.140625" defaultRowHeight="15" x14ac:dyDescent="0.25"/>
  <cols>
    <col min="1" max="1" width="7" style="35" customWidth="1"/>
    <col min="2" max="2" width="4.7109375" style="35" customWidth="1"/>
    <col min="3" max="3" width="12.42578125" style="35" customWidth="1"/>
    <col min="4" max="6" width="10.5703125" style="35" customWidth="1"/>
    <col min="7" max="7" width="9.42578125" style="35" customWidth="1"/>
    <col min="8" max="8" width="3.7109375" style="35" customWidth="1"/>
    <col min="9" max="9" width="12.42578125" style="35" customWidth="1"/>
    <col min="10" max="12" width="10.5703125" style="35" customWidth="1"/>
    <col min="13" max="13" width="9.42578125" style="35" customWidth="1"/>
    <col min="14" max="15" width="1.7109375" style="35" customWidth="1"/>
    <col min="16" max="16" width="17.5703125" style="35" hidden="1" customWidth="1"/>
    <col min="17" max="17" width="10.5703125" style="35" hidden="1" customWidth="1"/>
    <col min="18" max="18" width="12" style="35" hidden="1" customWidth="1"/>
    <col min="19" max="19" width="3.85546875" style="35" hidden="1" customWidth="1"/>
    <col min="20" max="20" width="12.140625" style="35" hidden="1" customWidth="1"/>
    <col min="21" max="21" width="10.5703125" style="35" hidden="1" customWidth="1"/>
    <col min="22" max="22" width="12" style="35" hidden="1" customWidth="1"/>
    <col min="23" max="23" width="0" style="35" hidden="1" customWidth="1"/>
    <col min="24" max="16384" width="9.140625" style="35"/>
  </cols>
  <sheetData>
    <row r="2" spans="1:22" x14ac:dyDescent="0.25">
      <c r="A2" s="35" t="s">
        <v>79</v>
      </c>
      <c r="B2" s="35" t="s">
        <v>65</v>
      </c>
      <c r="F2" s="36">
        <v>0.6</v>
      </c>
    </row>
    <row r="3" spans="1:22" ht="18.75" x14ac:dyDescent="0.3">
      <c r="A3" s="35" t="s">
        <v>80</v>
      </c>
      <c r="B3" s="37" t="s">
        <v>94</v>
      </c>
      <c r="F3" s="38">
        <v>0.7</v>
      </c>
      <c r="G3" s="64" t="s">
        <v>105</v>
      </c>
    </row>
    <row r="4" spans="1:22" x14ac:dyDescent="0.25">
      <c r="A4" s="35" t="s">
        <v>81</v>
      </c>
      <c r="B4" s="35" t="s">
        <v>66</v>
      </c>
      <c r="F4" s="39">
        <v>26</v>
      </c>
    </row>
    <row r="5" spans="1:22" x14ac:dyDescent="0.25">
      <c r="A5" s="35" t="s">
        <v>82</v>
      </c>
      <c r="B5" s="40" t="s">
        <v>95</v>
      </c>
      <c r="F5" s="39" t="s">
        <v>78</v>
      </c>
    </row>
    <row r="6" spans="1:22" x14ac:dyDescent="0.25">
      <c r="A6" s="35" t="s">
        <v>83</v>
      </c>
      <c r="B6" s="35" t="s">
        <v>108</v>
      </c>
    </row>
    <row r="7" spans="1:22" x14ac:dyDescent="0.25">
      <c r="A7" s="35" t="s">
        <v>100</v>
      </c>
      <c r="B7" s="41" t="s">
        <v>107</v>
      </c>
      <c r="C7" s="41"/>
      <c r="D7" s="41"/>
      <c r="E7" s="41"/>
      <c r="F7" s="41"/>
      <c r="G7" s="41"/>
    </row>
    <row r="8" spans="1:22" ht="30" x14ac:dyDescent="0.25">
      <c r="D8" s="66" t="s">
        <v>106</v>
      </c>
      <c r="E8" s="66" t="s">
        <v>106</v>
      </c>
      <c r="J8" s="66" t="s">
        <v>106</v>
      </c>
      <c r="K8" s="66" t="s">
        <v>106</v>
      </c>
    </row>
    <row r="9" spans="1:22" ht="78" customHeight="1" x14ac:dyDescent="0.25"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P9" s="86"/>
      <c r="Q9" s="86"/>
      <c r="R9" s="86"/>
      <c r="S9" s="86"/>
      <c r="T9" s="86"/>
      <c r="U9" s="86"/>
      <c r="V9" s="86"/>
    </row>
    <row r="10" spans="1:22" ht="18.75" x14ac:dyDescent="0.3">
      <c r="C10" s="87" t="s">
        <v>113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P10" s="87" t="s">
        <v>9</v>
      </c>
      <c r="Q10" s="87"/>
      <c r="R10" s="87"/>
      <c r="S10" s="87"/>
      <c r="T10" s="87"/>
      <c r="U10" s="87"/>
      <c r="V10" s="87"/>
    </row>
    <row r="11" spans="1:22" ht="18.75" x14ac:dyDescent="0.3">
      <c r="C11" s="87" t="s">
        <v>109</v>
      </c>
      <c r="D11" s="87"/>
      <c r="E11" s="87"/>
      <c r="F11" s="87"/>
      <c r="G11" s="87"/>
      <c r="H11" s="87"/>
      <c r="I11" s="87"/>
      <c r="J11" s="87"/>
      <c r="K11" s="87"/>
      <c r="L11" s="87"/>
      <c r="M11" s="87"/>
      <c r="P11" s="87" t="s">
        <v>9</v>
      </c>
      <c r="Q11" s="87"/>
      <c r="R11" s="87"/>
      <c r="S11" s="87"/>
      <c r="T11" s="87"/>
      <c r="U11" s="87"/>
      <c r="V11" s="87"/>
    </row>
    <row r="12" spans="1:22" x14ac:dyDescent="0.25">
      <c r="C12" s="88" t="s">
        <v>110</v>
      </c>
      <c r="D12" s="88"/>
      <c r="E12" s="88"/>
      <c r="F12" s="88"/>
      <c r="G12" s="88"/>
      <c r="H12" s="88"/>
      <c r="I12" s="88"/>
      <c r="J12" s="88"/>
      <c r="K12" s="88"/>
      <c r="L12" s="88"/>
      <c r="M12" s="88"/>
      <c r="P12" s="88" t="s">
        <v>59</v>
      </c>
      <c r="Q12" s="88"/>
      <c r="R12" s="88"/>
      <c r="S12" s="88"/>
      <c r="T12" s="88"/>
      <c r="U12" s="88"/>
      <c r="V12" s="88"/>
    </row>
    <row r="13" spans="1:22" ht="12" customHeight="1" thickBot="1" x14ac:dyDescent="0.3"/>
    <row r="14" spans="1:22" x14ac:dyDescent="0.25">
      <c r="C14" s="75" t="s">
        <v>69</v>
      </c>
      <c r="D14" s="81"/>
      <c r="E14" s="76"/>
      <c r="F14" s="82"/>
      <c r="G14" s="77"/>
      <c r="H14"/>
      <c r="I14" s="75" t="s">
        <v>74</v>
      </c>
      <c r="J14" s="76"/>
      <c r="K14" s="82"/>
      <c r="L14" s="82"/>
      <c r="M14" s="77"/>
      <c r="P14" s="83" t="s">
        <v>73</v>
      </c>
      <c r="Q14" s="84"/>
      <c r="R14" s="85"/>
      <c r="T14" s="83" t="s">
        <v>72</v>
      </c>
      <c r="U14" s="84"/>
      <c r="V14" s="85"/>
    </row>
    <row r="15" spans="1:22" ht="36.75" x14ac:dyDescent="0.25">
      <c r="B15" s="42"/>
      <c r="C15" s="4" t="s">
        <v>61</v>
      </c>
      <c r="D15" s="67" t="s">
        <v>62</v>
      </c>
      <c r="E15" s="67" t="s">
        <v>63</v>
      </c>
      <c r="F15" s="24" t="s">
        <v>64</v>
      </c>
      <c r="G15" s="30" t="s">
        <v>28</v>
      </c>
      <c r="H15"/>
      <c r="I15" s="4" t="s">
        <v>61</v>
      </c>
      <c r="J15" s="67" t="s">
        <v>62</v>
      </c>
      <c r="K15" s="67" t="s">
        <v>63</v>
      </c>
      <c r="L15" s="24" t="s">
        <v>64</v>
      </c>
      <c r="M15" s="30" t="s">
        <v>28</v>
      </c>
      <c r="N15" s="42"/>
      <c r="P15" s="43" t="s">
        <v>24</v>
      </c>
      <c r="Q15" s="44" t="s">
        <v>10</v>
      </c>
      <c r="R15" s="45" t="s">
        <v>28</v>
      </c>
      <c r="T15" s="43" t="s">
        <v>25</v>
      </c>
      <c r="U15" s="44" t="s">
        <v>10</v>
      </c>
      <c r="V15" s="45" t="s">
        <v>28</v>
      </c>
    </row>
    <row r="16" spans="1:22" x14ac:dyDescent="0.25">
      <c r="C16" s="7" t="s">
        <v>11</v>
      </c>
      <c r="D16" s="8">
        <f>VLOOKUP($F$3,'Rate tier guide'!$A$3:$U$12,2,FALSE)</f>
        <v>534.24197200000003</v>
      </c>
      <c r="E16" s="8">
        <f>D16*$F$2</f>
        <v>320.5451832</v>
      </c>
      <c r="F16" s="25">
        <f>D16-E16</f>
        <v>213.69678880000004</v>
      </c>
      <c r="G16" s="9">
        <f>SUM(F16*12)/$F$4</f>
        <v>98.629287138461549</v>
      </c>
      <c r="H16"/>
      <c r="I16" s="7" t="s">
        <v>11</v>
      </c>
      <c r="J16" s="8">
        <f>VLOOKUP($F$3,'Rate tier guide'!$A$3:$U$12,6,FALSE)</f>
        <v>556.29037599999992</v>
      </c>
      <c r="K16" s="25">
        <f t="shared" ref="K16:K19" si="0">$E$16</f>
        <v>320.5451832</v>
      </c>
      <c r="L16" s="25">
        <f>J16-K16</f>
        <v>235.74519279999993</v>
      </c>
      <c r="M16" s="9">
        <f>SUM(L16*12)/$F$4</f>
        <v>108.80547359999997</v>
      </c>
      <c r="P16" s="46" t="s">
        <v>11</v>
      </c>
      <c r="Q16" s="47">
        <v>568.50500000000011</v>
      </c>
      <c r="R16" s="48">
        <v>284.25250000000005</v>
      </c>
      <c r="T16" s="46" t="s">
        <v>11</v>
      </c>
      <c r="U16" s="47">
        <v>499.14499999999998</v>
      </c>
      <c r="V16" s="48">
        <v>249.57249999999999</v>
      </c>
    </row>
    <row r="17" spans="2:22" x14ac:dyDescent="0.25">
      <c r="C17" s="7" t="s">
        <v>12</v>
      </c>
      <c r="D17" s="8">
        <f>VLOOKUP($F$3,'Rate tier guide'!$A$3:$U$12,3,FALSE)</f>
        <v>995.37790599999994</v>
      </c>
      <c r="E17" s="8">
        <f>$E$16</f>
        <v>320.5451832</v>
      </c>
      <c r="F17" s="25">
        <f t="shared" ref="F17:F19" si="1">D17-E17</f>
        <v>674.83272279999994</v>
      </c>
      <c r="G17" s="9">
        <f>SUM(F17*12)/$F$4</f>
        <v>311.46125667692309</v>
      </c>
      <c r="H17"/>
      <c r="I17" s="7" t="s">
        <v>12</v>
      </c>
      <c r="J17" s="8">
        <f>VLOOKUP($F$3,'Rate tier guide'!$A$3:$U$12,7,FALSE)</f>
        <v>1037.9869899999999</v>
      </c>
      <c r="K17" s="25">
        <f t="shared" si="0"/>
        <v>320.5451832</v>
      </c>
      <c r="L17" s="25">
        <f t="shared" ref="L17:L19" si="2">J17-K17</f>
        <v>717.44180679999988</v>
      </c>
      <c r="M17" s="9">
        <f>SUM(L17*12)/$F$4</f>
        <v>331.12698775384609</v>
      </c>
      <c r="P17" s="46" t="s">
        <v>12</v>
      </c>
      <c r="Q17" s="47">
        <v>1742.9250000000002</v>
      </c>
      <c r="R17" s="48">
        <v>871.46250000000009</v>
      </c>
      <c r="T17" s="46" t="s">
        <v>12</v>
      </c>
      <c r="U17" s="47">
        <v>1597.2550000000001</v>
      </c>
      <c r="V17" s="48">
        <v>798.62750000000005</v>
      </c>
    </row>
    <row r="18" spans="2:22" x14ac:dyDescent="0.25">
      <c r="C18" s="7" t="s">
        <v>13</v>
      </c>
      <c r="D18" s="8">
        <f>VLOOKUP($F$3,'Rate tier guide'!$A$3:$U$12,4,FALSE)</f>
        <v>956.822452</v>
      </c>
      <c r="E18" s="8">
        <f>$E$16</f>
        <v>320.5451832</v>
      </c>
      <c r="F18" s="25">
        <f t="shared" si="1"/>
        <v>636.2772688</v>
      </c>
      <c r="G18" s="9">
        <f>SUM(F18*12)/$F$4</f>
        <v>293.66643175384615</v>
      </c>
      <c r="H18"/>
      <c r="I18" s="7" t="s">
        <v>13</v>
      </c>
      <c r="J18" s="8">
        <f>VLOOKUP($F$3,'Rate tier guide'!$A$3:$U$12,8,FALSE)</f>
        <v>997.71814599999971</v>
      </c>
      <c r="K18" s="25">
        <f t="shared" si="0"/>
        <v>320.5451832</v>
      </c>
      <c r="L18" s="25">
        <f t="shared" si="2"/>
        <v>677.17296279999971</v>
      </c>
      <c r="M18" s="9">
        <f>SUM(L18*12)/$F$4</f>
        <v>312.54136744615369</v>
      </c>
      <c r="P18" s="46" t="s">
        <v>13</v>
      </c>
      <c r="Q18" s="47">
        <v>1582.7750000000001</v>
      </c>
      <c r="R18" s="48">
        <v>791.38750000000005</v>
      </c>
      <c r="T18" s="46" t="s">
        <v>13</v>
      </c>
      <c r="U18" s="47">
        <v>1447.5150000000001</v>
      </c>
      <c r="V18" s="48">
        <v>723.75750000000005</v>
      </c>
    </row>
    <row r="19" spans="2:22" ht="15.75" thickBot="1" x14ac:dyDescent="0.3">
      <c r="C19" s="10" t="s">
        <v>8</v>
      </c>
      <c r="D19" s="11">
        <f>VLOOKUP($F$3,'Rate tier guide'!$A$3:$U$12,5,FALSE)</f>
        <v>1458.4779699999999</v>
      </c>
      <c r="E19" s="11">
        <f>$E$16</f>
        <v>320.5451832</v>
      </c>
      <c r="F19" s="26">
        <f t="shared" si="1"/>
        <v>1137.9327868</v>
      </c>
      <c r="G19" s="12">
        <f>SUM(F19*12)/$F$4</f>
        <v>525.19974775384617</v>
      </c>
      <c r="H19"/>
      <c r="I19" s="10" t="s">
        <v>8</v>
      </c>
      <c r="J19" s="11">
        <f>VLOOKUP($F$3,'Rate tier guide'!$A$3:$U$12,9,FALSE)</f>
        <v>1521.7480299999997</v>
      </c>
      <c r="K19" s="26">
        <f t="shared" si="0"/>
        <v>320.5451832</v>
      </c>
      <c r="L19" s="26">
        <f t="shared" si="2"/>
        <v>1201.2028467999999</v>
      </c>
      <c r="M19" s="12">
        <f>SUM(L19*12)/$F$4</f>
        <v>554.40131390769227</v>
      </c>
      <c r="P19" s="49" t="s">
        <v>8</v>
      </c>
      <c r="Q19" s="50">
        <v>2757.1950000000002</v>
      </c>
      <c r="R19" s="51">
        <v>1378.5975000000001</v>
      </c>
      <c r="T19" s="49" t="s">
        <v>8</v>
      </c>
      <c r="U19" s="50">
        <v>2545.625</v>
      </c>
      <c r="V19" s="51">
        <v>1272.8125</v>
      </c>
    </row>
    <row r="20" spans="2:22" ht="15.75" thickBot="1" x14ac:dyDescent="0.3">
      <c r="C20"/>
      <c r="D20" s="65"/>
      <c r="E20"/>
      <c r="F20"/>
      <c r="G20"/>
      <c r="H20"/>
      <c r="I20"/>
      <c r="J20" s="65"/>
      <c r="K20"/>
      <c r="L20"/>
      <c r="M20"/>
    </row>
    <row r="21" spans="2:22" x14ac:dyDescent="0.25">
      <c r="C21" s="75" t="s">
        <v>70</v>
      </c>
      <c r="D21" s="81"/>
      <c r="E21" s="76"/>
      <c r="F21" s="82"/>
      <c r="G21" s="77"/>
      <c r="H21"/>
      <c r="I21" s="75" t="s">
        <v>71</v>
      </c>
      <c r="J21" s="76"/>
      <c r="K21" s="82"/>
      <c r="L21" s="82"/>
      <c r="M21" s="77"/>
      <c r="P21" s="83" t="s">
        <v>14</v>
      </c>
      <c r="Q21" s="84"/>
      <c r="R21" s="85"/>
      <c r="T21" s="83" t="s">
        <v>15</v>
      </c>
      <c r="U21" s="84"/>
      <c r="V21" s="85"/>
    </row>
    <row r="22" spans="2:22" ht="36.75" x14ac:dyDescent="0.25">
      <c r="C22" s="4" t="s">
        <v>61</v>
      </c>
      <c r="D22" s="67" t="s">
        <v>62</v>
      </c>
      <c r="E22" s="67" t="s">
        <v>63</v>
      </c>
      <c r="F22" s="24" t="s">
        <v>64</v>
      </c>
      <c r="G22" s="30" t="s">
        <v>28</v>
      </c>
      <c r="H22"/>
      <c r="I22" s="4" t="s">
        <v>61</v>
      </c>
      <c r="J22" s="67" t="s">
        <v>62</v>
      </c>
      <c r="K22" s="67" t="s">
        <v>63</v>
      </c>
      <c r="L22" s="24" t="s">
        <v>64</v>
      </c>
      <c r="M22" s="30" t="s">
        <v>28</v>
      </c>
      <c r="P22" s="43" t="s">
        <v>26</v>
      </c>
      <c r="Q22" s="44" t="s">
        <v>10</v>
      </c>
      <c r="R22" s="45" t="s">
        <v>28</v>
      </c>
      <c r="T22" s="43" t="s">
        <v>27</v>
      </c>
      <c r="U22" s="44" t="s">
        <v>10</v>
      </c>
      <c r="V22" s="45" t="s">
        <v>28</v>
      </c>
    </row>
    <row r="23" spans="2:22" x14ac:dyDescent="0.25">
      <c r="C23" s="7" t="s">
        <v>11</v>
      </c>
      <c r="D23" s="8">
        <f>VLOOKUP($F$3,'Rate tier guide'!$A$3:$U$12,10,FALSE)</f>
        <v>657.79828599999985</v>
      </c>
      <c r="E23" s="8">
        <f t="shared" ref="E23:E26" si="3">$E$16</f>
        <v>320.5451832</v>
      </c>
      <c r="F23" s="25">
        <f>D23-E23</f>
        <v>337.25310279999985</v>
      </c>
      <c r="G23" s="9">
        <f>SUM(F23*12)/$F$4</f>
        <v>155.65527821538456</v>
      </c>
      <c r="H23"/>
      <c r="I23" s="7" t="s">
        <v>11</v>
      </c>
      <c r="J23" s="8">
        <f>VLOOKUP($F$3,'Rate tier guide'!$A$3:$U$12,14,FALSE)</f>
        <v>732.7528299999999</v>
      </c>
      <c r="K23" s="25">
        <f>$E$16</f>
        <v>320.5451832</v>
      </c>
      <c r="L23" s="25">
        <f>J23-K23</f>
        <v>412.20764679999991</v>
      </c>
      <c r="M23" s="9">
        <f>SUM(L23*12)/$F$4</f>
        <v>190.24968313846148</v>
      </c>
      <c r="P23" s="46" t="s">
        <v>11</v>
      </c>
      <c r="Q23" s="47">
        <v>37.71</v>
      </c>
      <c r="R23" s="48">
        <v>18.855</v>
      </c>
      <c r="T23" s="46" t="s">
        <v>11</v>
      </c>
      <c r="U23" s="47">
        <v>8.2799999999999994</v>
      </c>
      <c r="V23" s="48">
        <v>4.1399999999999997</v>
      </c>
    </row>
    <row r="24" spans="2:22" x14ac:dyDescent="0.25">
      <c r="C24" s="7" t="s">
        <v>12</v>
      </c>
      <c r="D24" s="8">
        <f>VLOOKUP($F$3,'Rate tier guide'!$A$3:$U$12,11,FALSE)</f>
        <v>1234.1993979999997</v>
      </c>
      <c r="E24" s="8">
        <f t="shared" si="3"/>
        <v>320.5451832</v>
      </c>
      <c r="F24" s="25">
        <f t="shared" ref="F24:F26" si="4">D24-E24</f>
        <v>913.65421479999975</v>
      </c>
      <c r="G24" s="9">
        <f>SUM(F24*12)/$F$4</f>
        <v>421.68656067692297</v>
      </c>
      <c r="H24"/>
      <c r="I24" s="7" t="s">
        <v>12</v>
      </c>
      <c r="J24" s="8">
        <f>VLOOKUP($F$3,'Rate tier guide'!$A$3:$U$12,15,FALSE)</f>
        <v>1379.0936859999999</v>
      </c>
      <c r="K24" s="25">
        <f t="shared" ref="K24:K26" si="5">$E$16</f>
        <v>320.5451832</v>
      </c>
      <c r="L24" s="25">
        <f t="shared" ref="L24:L26" si="6">J24-K24</f>
        <v>1058.5485027999998</v>
      </c>
      <c r="M24" s="9">
        <f>SUM(L24*12)/$F$4</f>
        <v>488.56084744615379</v>
      </c>
      <c r="P24" s="46" t="s">
        <v>12</v>
      </c>
      <c r="Q24" s="47">
        <v>85.24</v>
      </c>
      <c r="R24" s="48">
        <v>42.62</v>
      </c>
      <c r="T24" s="46" t="s">
        <v>12</v>
      </c>
      <c r="U24" s="47">
        <v>16.559999999999999</v>
      </c>
      <c r="V24" s="48">
        <v>8.2799999999999994</v>
      </c>
    </row>
    <row r="25" spans="2:22" x14ac:dyDescent="0.25">
      <c r="C25" s="7" t="s">
        <v>13</v>
      </c>
      <c r="D25" s="8">
        <f>VLOOKUP($F$3,'Rate tier guide'!$A$3:$U$12,12,FALSE)</f>
        <v>1186.0071699999999</v>
      </c>
      <c r="E25" s="8">
        <f t="shared" si="3"/>
        <v>320.5451832</v>
      </c>
      <c r="F25" s="25">
        <f t="shared" si="4"/>
        <v>865.46198679999986</v>
      </c>
      <c r="G25" s="9">
        <f>SUM(F25*12)/$F$4</f>
        <v>399.44399390769223</v>
      </c>
      <c r="H25"/>
      <c r="I25" s="7" t="s">
        <v>13</v>
      </c>
      <c r="J25" s="8">
        <f>VLOOKUP($F$3,'Rate tier guide'!$A$3:$U$12,16,FALSE)</f>
        <v>1325.0508579999998</v>
      </c>
      <c r="K25" s="25">
        <f t="shared" si="5"/>
        <v>320.5451832</v>
      </c>
      <c r="L25" s="25">
        <f t="shared" si="6"/>
        <v>1004.5056747999998</v>
      </c>
      <c r="M25" s="9">
        <f>SUM(L25*12)/$F$4</f>
        <v>463.6180037538461</v>
      </c>
      <c r="P25" s="46" t="s">
        <v>13</v>
      </c>
      <c r="Q25" s="47">
        <v>72.569999999999993</v>
      </c>
      <c r="R25" s="48">
        <v>36.284999999999997</v>
      </c>
      <c r="T25" s="46" t="s">
        <v>13</v>
      </c>
      <c r="U25" s="47">
        <v>15.73</v>
      </c>
      <c r="V25" s="48">
        <v>7.8650000000000002</v>
      </c>
    </row>
    <row r="26" spans="2:22" ht="15.75" thickBot="1" x14ac:dyDescent="0.3">
      <c r="C26" s="10" t="s">
        <v>8</v>
      </c>
      <c r="D26" s="11">
        <f>VLOOKUP($F$3,'Rate tier guide'!$A$3:$U$12,13,FALSE)</f>
        <v>1813.0744779999998</v>
      </c>
      <c r="E26" s="11">
        <f t="shared" si="3"/>
        <v>320.5451832</v>
      </c>
      <c r="F26" s="26">
        <f t="shared" si="4"/>
        <v>1492.5292947999997</v>
      </c>
      <c r="G26" s="12">
        <f>SUM(F26*12)/$F$4</f>
        <v>688.85967452307682</v>
      </c>
      <c r="H26"/>
      <c r="I26" s="10" t="s">
        <v>8</v>
      </c>
      <c r="J26" s="11">
        <f>VLOOKUP($F$3,'Rate tier guide'!$A$3:$U$12,17,FALSE)</f>
        <v>2028.1926819999999</v>
      </c>
      <c r="K26" s="26">
        <f t="shared" si="5"/>
        <v>320.5451832</v>
      </c>
      <c r="L26" s="26">
        <f t="shared" si="6"/>
        <v>1707.6474988</v>
      </c>
      <c r="M26" s="12">
        <f>SUM(L26*12)/$F$4</f>
        <v>788.14499944615386</v>
      </c>
      <c r="P26" s="49" t="s">
        <v>8</v>
      </c>
      <c r="Q26" s="50">
        <v>121.53</v>
      </c>
      <c r="R26" s="51">
        <v>60.765000000000001</v>
      </c>
      <c r="T26" s="49" t="s">
        <v>8</v>
      </c>
      <c r="U26" s="50">
        <v>24.72</v>
      </c>
      <c r="V26" s="51">
        <v>12.36</v>
      </c>
    </row>
    <row r="27" spans="2:22" ht="12" customHeight="1" thickBot="1" x14ac:dyDescent="0.3"/>
    <row r="28" spans="2:22" x14ac:dyDescent="0.25">
      <c r="C28" s="75" t="s">
        <v>117</v>
      </c>
      <c r="D28" s="81"/>
      <c r="E28" s="76"/>
      <c r="F28" s="82"/>
      <c r="G28" s="77"/>
      <c r="H28"/>
      <c r="I28" s="75" t="s">
        <v>111</v>
      </c>
      <c r="J28" s="81"/>
      <c r="K28" s="76"/>
      <c r="L28" s="82"/>
      <c r="M28" s="77"/>
      <c r="P28" s="83" t="s">
        <v>73</v>
      </c>
      <c r="Q28" s="84"/>
      <c r="R28" s="85"/>
      <c r="T28" s="83" t="s">
        <v>72</v>
      </c>
      <c r="U28" s="84"/>
      <c r="V28" s="85"/>
    </row>
    <row r="29" spans="2:22" ht="36.75" x14ac:dyDescent="0.25">
      <c r="B29" s="42"/>
      <c r="C29" s="4" t="s">
        <v>61</v>
      </c>
      <c r="D29" s="67" t="s">
        <v>62</v>
      </c>
      <c r="E29" s="67" t="s">
        <v>63</v>
      </c>
      <c r="F29" s="24" t="s">
        <v>64</v>
      </c>
      <c r="G29" s="30" t="s">
        <v>28</v>
      </c>
      <c r="H29"/>
      <c r="I29" s="4" t="s">
        <v>61</v>
      </c>
      <c r="J29" s="67" t="s">
        <v>62</v>
      </c>
      <c r="K29" s="67" t="s">
        <v>63</v>
      </c>
      <c r="L29" s="24" t="s">
        <v>64</v>
      </c>
      <c r="M29" s="30" t="s">
        <v>28</v>
      </c>
      <c r="N29" s="42"/>
      <c r="P29" s="43" t="s">
        <v>24</v>
      </c>
      <c r="Q29" s="44" t="s">
        <v>10</v>
      </c>
      <c r="R29" s="45" t="s">
        <v>28</v>
      </c>
      <c r="T29" s="43" t="s">
        <v>25</v>
      </c>
      <c r="U29" s="44" t="s">
        <v>10</v>
      </c>
      <c r="V29" s="45" t="s">
        <v>28</v>
      </c>
    </row>
    <row r="30" spans="2:22" x14ac:dyDescent="0.25">
      <c r="C30" s="7" t="s">
        <v>11</v>
      </c>
      <c r="D30" s="8">
        <f>VLOOKUP($F$3,'Rate tier guide'!$A$3:$U$12,18,FALSE)</f>
        <v>582.94403799999998</v>
      </c>
      <c r="E30" s="8">
        <f t="shared" ref="E30" si="7">$E$16</f>
        <v>320.5451832</v>
      </c>
      <c r="F30" s="25">
        <f>D30-E30</f>
        <v>262.39885479999998</v>
      </c>
      <c r="G30" s="9">
        <f>SUM(F30*12)/$F$4</f>
        <v>121.10716375384615</v>
      </c>
      <c r="H30"/>
      <c r="I30" s="7" t="s">
        <v>11</v>
      </c>
      <c r="J30" s="8">
        <f>'Rate tier guide'!B13</f>
        <v>43.14</v>
      </c>
      <c r="K30" s="8">
        <v>0</v>
      </c>
      <c r="L30" s="25">
        <f>J30-K30</f>
        <v>43.14</v>
      </c>
      <c r="M30" s="9">
        <f>SUM(L30*12)/$F$4</f>
        <v>19.910769230769233</v>
      </c>
      <c r="P30" s="46" t="s">
        <v>11</v>
      </c>
      <c r="Q30" s="47">
        <v>568.50500000000011</v>
      </c>
      <c r="R30" s="48">
        <v>284.25250000000005</v>
      </c>
      <c r="T30" s="46" t="s">
        <v>11</v>
      </c>
      <c r="U30" s="47">
        <v>499.14499999999998</v>
      </c>
      <c r="V30" s="48">
        <v>249.57249999999999</v>
      </c>
    </row>
    <row r="31" spans="2:22" x14ac:dyDescent="0.25">
      <c r="C31" s="7" t="s">
        <v>12</v>
      </c>
      <c r="D31" s="8">
        <f>VLOOKUP($F$3,'Rate tier guide'!$A$3:$U$12,19,FALSE)</f>
        <v>1089.51406</v>
      </c>
      <c r="E31" s="8">
        <f>$E$16</f>
        <v>320.5451832</v>
      </c>
      <c r="F31" s="25">
        <f t="shared" ref="F31:F33" si="8">D31-E31</f>
        <v>768.96887679999998</v>
      </c>
      <c r="G31" s="9">
        <f>SUM(F31*12)/$F$4</f>
        <v>354.90871236923073</v>
      </c>
      <c r="H31"/>
      <c r="I31" s="7" t="s">
        <v>12</v>
      </c>
      <c r="J31" s="8">
        <f>'Rate tier guide'!C13</f>
        <v>80.34</v>
      </c>
      <c r="K31" s="8">
        <v>0</v>
      </c>
      <c r="L31" s="25">
        <f t="shared" ref="L31:L33" si="9">J31-K31</f>
        <v>80.34</v>
      </c>
      <c r="M31" s="9">
        <f>SUM(L31*12)/$F$4</f>
        <v>37.08</v>
      </c>
      <c r="P31" s="46" t="s">
        <v>12</v>
      </c>
      <c r="Q31" s="47">
        <v>1742.9250000000002</v>
      </c>
      <c r="R31" s="48">
        <v>871.46250000000009</v>
      </c>
      <c r="T31" s="46" t="s">
        <v>12</v>
      </c>
      <c r="U31" s="47">
        <v>1597.2550000000001</v>
      </c>
      <c r="V31" s="48">
        <v>798.62750000000005</v>
      </c>
    </row>
    <row r="32" spans="2:22" x14ac:dyDescent="0.25">
      <c r="C32" s="7" t="s">
        <v>13</v>
      </c>
      <c r="D32" s="8">
        <f>VLOOKUP($F$3,'Rate tier guide'!$A$3:$U$12,20,FALSE)</f>
        <v>1047.1557159999998</v>
      </c>
      <c r="E32" s="8">
        <f>$E$16</f>
        <v>320.5451832</v>
      </c>
      <c r="F32" s="25">
        <f t="shared" si="8"/>
        <v>726.61053279999976</v>
      </c>
      <c r="G32" s="9">
        <f>SUM(F32*12)/$F$4</f>
        <v>335.35870744615374</v>
      </c>
      <c r="H32"/>
      <c r="I32" s="7" t="s">
        <v>13</v>
      </c>
      <c r="J32" s="8">
        <f>'Rate tier guide'!D13</f>
        <v>85.15</v>
      </c>
      <c r="K32" s="8">
        <v>0</v>
      </c>
      <c r="L32" s="25">
        <f t="shared" si="9"/>
        <v>85.15</v>
      </c>
      <c r="M32" s="9">
        <f>SUM(L32*12)/$F$4</f>
        <v>39.300000000000004</v>
      </c>
      <c r="P32" s="46" t="s">
        <v>13</v>
      </c>
      <c r="Q32" s="47">
        <v>1582.7750000000001</v>
      </c>
      <c r="R32" s="48">
        <v>791.38750000000005</v>
      </c>
      <c r="T32" s="46" t="s">
        <v>13</v>
      </c>
      <c r="U32" s="47">
        <v>1447.5150000000001</v>
      </c>
      <c r="V32" s="48">
        <v>723.75750000000005</v>
      </c>
    </row>
    <row r="33" spans="3:22" ht="15.75" thickBot="1" x14ac:dyDescent="0.3">
      <c r="C33" s="10" t="s">
        <v>8</v>
      </c>
      <c r="D33" s="11">
        <f>VLOOKUP($F$3,'Rate tier guide'!$A$3:$U$12,21,FALSE)</f>
        <v>1598.2488039999998</v>
      </c>
      <c r="E33" s="11">
        <f>$E$16</f>
        <v>320.5451832</v>
      </c>
      <c r="F33" s="26">
        <f t="shared" si="8"/>
        <v>1277.7036208</v>
      </c>
      <c r="G33" s="12">
        <f>SUM(F33*12)/$F$4</f>
        <v>589.70936344615382</v>
      </c>
      <c r="H33"/>
      <c r="I33" s="10" t="s">
        <v>8</v>
      </c>
      <c r="J33" s="11">
        <f>'Rate tier guide'!E13</f>
        <v>130.13999999999999</v>
      </c>
      <c r="K33" s="11">
        <v>0</v>
      </c>
      <c r="L33" s="26">
        <f t="shared" si="9"/>
        <v>130.13999999999999</v>
      </c>
      <c r="M33" s="12">
        <f>SUM(L33*12)/$F$4</f>
        <v>60.064615384615379</v>
      </c>
      <c r="P33" s="49" t="s">
        <v>8</v>
      </c>
      <c r="Q33" s="50">
        <v>2757.1950000000002</v>
      </c>
      <c r="R33" s="51">
        <v>1378.5975000000001</v>
      </c>
      <c r="T33" s="49" t="s">
        <v>8</v>
      </c>
      <c r="U33" s="50">
        <v>2545.625</v>
      </c>
      <c r="V33" s="51">
        <v>1272.8125</v>
      </c>
    </row>
    <row r="34" spans="3:22" ht="15.75" thickBot="1" x14ac:dyDescent="0.3">
      <c r="C34"/>
      <c r="D34" s="65"/>
      <c r="E34"/>
      <c r="F34"/>
      <c r="G34"/>
      <c r="H34"/>
      <c r="I34"/>
      <c r="J34" s="65"/>
      <c r="K34"/>
      <c r="L34"/>
      <c r="M34"/>
    </row>
    <row r="35" spans="3:22" x14ac:dyDescent="0.25">
      <c r="C35" s="75" t="s">
        <v>112</v>
      </c>
      <c r="D35" s="76"/>
      <c r="E35" s="82"/>
      <c r="F35" s="82"/>
      <c r="G35" s="77"/>
      <c r="H35"/>
      <c r="I35" s="75" t="s">
        <v>15</v>
      </c>
      <c r="J35" s="81"/>
      <c r="K35" s="76"/>
      <c r="L35" s="82"/>
      <c r="M35" s="77"/>
      <c r="P35" s="83" t="s">
        <v>14</v>
      </c>
      <c r="Q35" s="84"/>
      <c r="R35" s="85"/>
      <c r="T35" s="83" t="s">
        <v>15</v>
      </c>
      <c r="U35" s="84"/>
      <c r="V35" s="85"/>
    </row>
    <row r="36" spans="3:22" ht="36.75" x14ac:dyDescent="0.25">
      <c r="C36" s="4" t="s">
        <v>61</v>
      </c>
      <c r="D36" s="67" t="s">
        <v>62</v>
      </c>
      <c r="E36" s="67" t="s">
        <v>63</v>
      </c>
      <c r="F36" s="24" t="s">
        <v>64</v>
      </c>
      <c r="G36" s="30" t="s">
        <v>28</v>
      </c>
      <c r="H36"/>
      <c r="I36" s="4" t="s">
        <v>61</v>
      </c>
      <c r="J36" s="67" t="s">
        <v>62</v>
      </c>
      <c r="K36" s="67" t="s">
        <v>63</v>
      </c>
      <c r="L36" s="24" t="s">
        <v>64</v>
      </c>
      <c r="M36" s="30" t="s">
        <v>28</v>
      </c>
      <c r="P36" s="43" t="s">
        <v>26</v>
      </c>
      <c r="Q36" s="44" t="s">
        <v>10</v>
      </c>
      <c r="R36" s="45" t="s">
        <v>28</v>
      </c>
      <c r="T36" s="43" t="s">
        <v>27</v>
      </c>
      <c r="U36" s="44" t="s">
        <v>10</v>
      </c>
      <c r="V36" s="45" t="s">
        <v>28</v>
      </c>
    </row>
    <row r="37" spans="3:22" x14ac:dyDescent="0.25">
      <c r="C37" s="7" t="s">
        <v>11</v>
      </c>
      <c r="D37" s="8">
        <f>'Rate tier guide'!B14</f>
        <v>36.42</v>
      </c>
      <c r="E37" s="8">
        <v>0</v>
      </c>
      <c r="F37" s="25">
        <f>D37-E37</f>
        <v>36.42</v>
      </c>
      <c r="G37" s="9">
        <f>SUM(F37*12)/$F$4</f>
        <v>16.809230769230769</v>
      </c>
      <c r="H37"/>
      <c r="I37" s="7" t="s">
        <v>11</v>
      </c>
      <c r="J37" s="8">
        <f>'Rate tier guide'!B15</f>
        <v>7.59</v>
      </c>
      <c r="K37" s="8">
        <v>0</v>
      </c>
      <c r="L37" s="25">
        <f>J37-K37</f>
        <v>7.59</v>
      </c>
      <c r="M37" s="9">
        <f>SUM(L37*12)/$F$4</f>
        <v>3.503076923076923</v>
      </c>
      <c r="P37" s="46" t="s">
        <v>11</v>
      </c>
      <c r="Q37" s="47">
        <v>37.71</v>
      </c>
      <c r="R37" s="48">
        <v>18.855</v>
      </c>
      <c r="T37" s="46" t="s">
        <v>11</v>
      </c>
      <c r="U37" s="47">
        <v>8.2799999999999994</v>
      </c>
      <c r="V37" s="48">
        <v>4.1399999999999997</v>
      </c>
    </row>
    <row r="38" spans="3:22" x14ac:dyDescent="0.25">
      <c r="C38" s="7" t="s">
        <v>12</v>
      </c>
      <c r="D38" s="8">
        <f>'Rate tier guide'!C14</f>
        <v>66.900000000000006</v>
      </c>
      <c r="E38" s="8">
        <v>0</v>
      </c>
      <c r="F38" s="25">
        <f t="shared" ref="F38:F40" si="10">D38-E38</f>
        <v>66.900000000000006</v>
      </c>
      <c r="G38" s="9">
        <f>SUM(F38*12)/$F$4</f>
        <v>30.876923076923081</v>
      </c>
      <c r="H38"/>
      <c r="I38" s="7" t="s">
        <v>12</v>
      </c>
      <c r="J38" s="8">
        <f>'Rate tier guide'!C15</f>
        <v>15.17</v>
      </c>
      <c r="K38" s="8">
        <v>0</v>
      </c>
      <c r="L38" s="25">
        <f t="shared" ref="L38:L40" si="11">J38-K38</f>
        <v>15.17</v>
      </c>
      <c r="M38" s="9">
        <f>SUM(L38*12)/$F$4</f>
        <v>7.0015384615384608</v>
      </c>
      <c r="P38" s="46" t="s">
        <v>12</v>
      </c>
      <c r="Q38" s="47">
        <v>85.24</v>
      </c>
      <c r="R38" s="48">
        <v>42.62</v>
      </c>
      <c r="T38" s="46" t="s">
        <v>12</v>
      </c>
      <c r="U38" s="47">
        <v>16.559999999999999</v>
      </c>
      <c r="V38" s="48">
        <v>8.2799999999999994</v>
      </c>
    </row>
    <row r="39" spans="3:22" x14ac:dyDescent="0.25">
      <c r="C39" s="7" t="s">
        <v>13</v>
      </c>
      <c r="D39" s="8">
        <f>'Rate tier guide'!D14</f>
        <v>74.78</v>
      </c>
      <c r="E39" s="8">
        <v>0</v>
      </c>
      <c r="F39" s="25">
        <f t="shared" si="10"/>
        <v>74.78</v>
      </c>
      <c r="G39" s="9">
        <f>SUM(F39*12)/$F$4</f>
        <v>34.513846153846153</v>
      </c>
      <c r="H39"/>
      <c r="I39" s="7" t="s">
        <v>13</v>
      </c>
      <c r="J39" s="8">
        <f>'Rate tier guide'!D15</f>
        <v>21.77</v>
      </c>
      <c r="K39" s="8">
        <v>0</v>
      </c>
      <c r="L39" s="25">
        <f t="shared" si="11"/>
        <v>21.77</v>
      </c>
      <c r="M39" s="9">
        <f>SUM(L39*12)/$F$4</f>
        <v>10.047692307692309</v>
      </c>
      <c r="P39" s="46" t="s">
        <v>13</v>
      </c>
      <c r="Q39" s="47">
        <v>72.569999999999993</v>
      </c>
      <c r="R39" s="48">
        <v>36.284999999999997</v>
      </c>
      <c r="T39" s="46" t="s">
        <v>13</v>
      </c>
      <c r="U39" s="47">
        <v>15.73</v>
      </c>
      <c r="V39" s="48">
        <v>7.8650000000000002</v>
      </c>
    </row>
    <row r="40" spans="3:22" ht="15.75" thickBot="1" x14ac:dyDescent="0.3">
      <c r="C40" s="10" t="s">
        <v>8</v>
      </c>
      <c r="D40" s="11">
        <f>'Rate tier guide'!E14</f>
        <v>112.36</v>
      </c>
      <c r="E40" s="11">
        <v>0</v>
      </c>
      <c r="F40" s="26">
        <f t="shared" si="10"/>
        <v>112.36</v>
      </c>
      <c r="G40" s="12">
        <f>SUM(F40*12)/$F$4</f>
        <v>51.858461538461533</v>
      </c>
      <c r="H40"/>
      <c r="I40" s="10" t="s">
        <v>8</v>
      </c>
      <c r="J40" s="11">
        <f>'Rate tier guide'!E15</f>
        <v>31.71</v>
      </c>
      <c r="K40" s="11">
        <v>0</v>
      </c>
      <c r="L40" s="26">
        <f t="shared" si="11"/>
        <v>31.71</v>
      </c>
      <c r="M40" s="12">
        <f>SUM(L40*12)/$F$4</f>
        <v>14.635384615384615</v>
      </c>
      <c r="P40" s="49" t="s">
        <v>8</v>
      </c>
      <c r="Q40" s="50">
        <v>121.53</v>
      </c>
      <c r="R40" s="51">
        <v>60.765000000000001</v>
      </c>
      <c r="T40" s="49" t="s">
        <v>8</v>
      </c>
      <c r="U40" s="50">
        <v>24.72</v>
      </c>
      <c r="V40" s="51">
        <v>12.36</v>
      </c>
    </row>
    <row r="41" spans="3:22" ht="4.5" customHeight="1" x14ac:dyDescent="0.25"/>
    <row r="42" spans="3:22" x14ac:dyDescent="0.25">
      <c r="C42" s="40" t="str">
        <f>CONCATENATE("*Per paycheck rates are based on a ",F5," payroll basis.")</f>
        <v>*Per paycheck rates are based on a bi-weekly payroll basis.</v>
      </c>
    </row>
    <row r="43" spans="3:22" x14ac:dyDescent="0.25">
      <c r="C43" s="40" t="s">
        <v>93</v>
      </c>
      <c r="D43" s="52"/>
      <c r="J43" s="52"/>
    </row>
  </sheetData>
  <sheetProtection sheet="1" formatCells="0" formatColumns="0" formatRows="0" insertColumns="0" insertRows="0" insertHyperlinks="0"/>
  <mergeCells count="24">
    <mergeCell ref="C14:G14"/>
    <mergeCell ref="I14:M14"/>
    <mergeCell ref="P14:R14"/>
    <mergeCell ref="T14:V14"/>
    <mergeCell ref="C21:G21"/>
    <mergeCell ref="I21:M21"/>
    <mergeCell ref="P21:R21"/>
    <mergeCell ref="T21:V21"/>
    <mergeCell ref="C9:M9"/>
    <mergeCell ref="P9:V9"/>
    <mergeCell ref="C10:M10"/>
    <mergeCell ref="P10:V10"/>
    <mergeCell ref="C12:M12"/>
    <mergeCell ref="P12:V12"/>
    <mergeCell ref="C11:M11"/>
    <mergeCell ref="P11:V11"/>
    <mergeCell ref="C28:G28"/>
    <mergeCell ref="I28:M28"/>
    <mergeCell ref="P28:R28"/>
    <mergeCell ref="T28:V28"/>
    <mergeCell ref="C35:G35"/>
    <mergeCell ref="I35:M35"/>
    <mergeCell ref="P35:R35"/>
    <mergeCell ref="T35:V35"/>
  </mergeCells>
  <printOptions horizontalCentered="1"/>
  <pageMargins left="0.25" right="0.25" top="0.5" bottom="0.5" header="0.3" footer="0.3"/>
  <pageSetup scale="9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7EE1CE3-5A0D-464E-A489-3AE8FCB7F128}">
          <x14:formula1>
            <xm:f>'Rate tier guide'!$A$17:$A$20</xm:f>
          </x14:formula1>
          <xm:sqref>F5</xm:sqref>
        </x14:dataValidation>
        <x14:dataValidation type="list" allowBlank="1" showInputMessage="1" showErrorMessage="1" xr:uid="{E924946E-C566-4BCE-BAAC-4AEA66A53466}">
          <x14:formula1>
            <xm:f>'Rate tier guide'!$A$3:$A$12</xm:f>
          </x14:formula1>
          <xm:sqref>F3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63781-315B-4182-99BE-8CFF73396F1E}">
  <dimension ref="A1:V20"/>
  <sheetViews>
    <sheetView workbookViewId="0">
      <selection activeCell="F20" sqref="F20"/>
    </sheetView>
  </sheetViews>
  <sheetFormatPr defaultRowHeight="15" x14ac:dyDescent="0.25"/>
  <cols>
    <col min="22" max="22" width="11" bestFit="1" customWidth="1"/>
  </cols>
  <sheetData>
    <row r="1" spans="1:22" x14ac:dyDescent="0.25">
      <c r="A1" s="33"/>
      <c r="B1" s="89" t="s">
        <v>84</v>
      </c>
      <c r="C1" s="89"/>
      <c r="D1" s="89"/>
      <c r="E1" s="89"/>
      <c r="F1" s="89" t="s">
        <v>85</v>
      </c>
      <c r="G1" s="89"/>
      <c r="H1" s="89"/>
      <c r="I1" s="89"/>
      <c r="J1" s="89" t="s">
        <v>86</v>
      </c>
      <c r="K1" s="89"/>
      <c r="L1" s="89"/>
      <c r="M1" s="89"/>
      <c r="N1" s="89" t="s">
        <v>87</v>
      </c>
      <c r="O1" s="89"/>
      <c r="P1" s="89"/>
      <c r="Q1" s="89"/>
      <c r="R1" s="89" t="s">
        <v>88</v>
      </c>
      <c r="S1" s="89"/>
      <c r="T1" s="89"/>
      <c r="U1" s="89"/>
    </row>
    <row r="2" spans="1:22" x14ac:dyDescent="0.25">
      <c r="A2" s="33"/>
      <c r="B2" s="33" t="s">
        <v>89</v>
      </c>
      <c r="C2" s="33" t="s">
        <v>90</v>
      </c>
      <c r="D2" s="33" t="s">
        <v>91</v>
      </c>
      <c r="E2" s="33" t="s">
        <v>92</v>
      </c>
      <c r="F2" s="33" t="s">
        <v>89</v>
      </c>
      <c r="G2" s="33" t="s">
        <v>90</v>
      </c>
      <c r="H2" s="33" t="s">
        <v>91</v>
      </c>
      <c r="I2" s="33" t="s">
        <v>92</v>
      </c>
      <c r="J2" s="33" t="s">
        <v>89</v>
      </c>
      <c r="K2" s="33" t="s">
        <v>90</v>
      </c>
      <c r="L2" s="33" t="s">
        <v>91</v>
      </c>
      <c r="M2" s="33" t="s">
        <v>92</v>
      </c>
      <c r="N2" s="33" t="s">
        <v>89</v>
      </c>
      <c r="O2" s="33" t="s">
        <v>90</v>
      </c>
      <c r="P2" s="33" t="s">
        <v>91</v>
      </c>
      <c r="Q2" s="33" t="s">
        <v>92</v>
      </c>
      <c r="R2" s="33" t="s">
        <v>89</v>
      </c>
      <c r="S2" s="33" t="s">
        <v>90</v>
      </c>
      <c r="T2" s="33" t="s">
        <v>91</v>
      </c>
      <c r="U2" s="33" t="s">
        <v>92</v>
      </c>
    </row>
    <row r="3" spans="1:22" x14ac:dyDescent="0.25">
      <c r="A3" s="33">
        <v>0.7</v>
      </c>
      <c r="B3" s="34">
        <v>534.24197200000003</v>
      </c>
      <c r="C3" s="34">
        <v>995.37790599999994</v>
      </c>
      <c r="D3" s="34">
        <v>956.822452</v>
      </c>
      <c r="E3" s="34">
        <v>1458.4779699999999</v>
      </c>
      <c r="F3" s="34">
        <v>556.29037599999992</v>
      </c>
      <c r="G3" s="34">
        <v>1037.9869899999999</v>
      </c>
      <c r="H3" s="34">
        <v>997.71814599999971</v>
      </c>
      <c r="I3" s="34">
        <v>1521.7480299999997</v>
      </c>
      <c r="J3" s="34">
        <v>657.79828599999985</v>
      </c>
      <c r="K3" s="34">
        <v>1234.1993979999997</v>
      </c>
      <c r="L3" s="34">
        <v>1186.0071699999999</v>
      </c>
      <c r="M3" s="34">
        <v>1813.0744779999998</v>
      </c>
      <c r="N3" s="34">
        <v>732.7528299999999</v>
      </c>
      <c r="O3" s="34">
        <v>1379.0936859999999</v>
      </c>
      <c r="P3" s="34">
        <v>1325.0508579999998</v>
      </c>
      <c r="Q3" s="34">
        <v>2028.1926819999999</v>
      </c>
      <c r="R3" s="34">
        <v>582.94403799999998</v>
      </c>
      <c r="S3" s="34">
        <v>1089.51406</v>
      </c>
      <c r="T3" s="34">
        <v>1047.1557159999998</v>
      </c>
      <c r="U3" s="34">
        <v>1598.2488039999998</v>
      </c>
      <c r="V3" s="65"/>
    </row>
    <row r="4" spans="1:22" x14ac:dyDescent="0.25">
      <c r="A4" s="33">
        <v>0.8</v>
      </c>
      <c r="B4" s="34">
        <v>604.84796800000004</v>
      </c>
      <c r="C4" s="34">
        <v>1131.8604640000001</v>
      </c>
      <c r="D4" s="34">
        <v>1087.797088</v>
      </c>
      <c r="E4" s="34">
        <v>1661.1176800000003</v>
      </c>
      <c r="F4" s="34">
        <v>630.04614400000003</v>
      </c>
      <c r="G4" s="34">
        <v>1180.55656</v>
      </c>
      <c r="H4" s="34">
        <v>1134.5350239999998</v>
      </c>
      <c r="I4" s="34">
        <v>1733.4263199999998</v>
      </c>
      <c r="J4" s="34">
        <v>746.05518399999994</v>
      </c>
      <c r="K4" s="34">
        <v>1404.7993120000001</v>
      </c>
      <c r="L4" s="34">
        <v>1349.7224800000001</v>
      </c>
      <c r="M4" s="34">
        <v>2066.3708319999996</v>
      </c>
      <c r="N4" s="34">
        <v>831.71752000000004</v>
      </c>
      <c r="O4" s="34">
        <v>1570.3927840000001</v>
      </c>
      <c r="P4" s="34">
        <v>1508.6295520000001</v>
      </c>
      <c r="Q4" s="34">
        <v>2312.2202080000002</v>
      </c>
      <c r="R4" s="34">
        <v>660.50747200000001</v>
      </c>
      <c r="S4" s="34">
        <v>1239.4446400000002</v>
      </c>
      <c r="T4" s="34">
        <v>1191.035104</v>
      </c>
      <c r="U4" s="34">
        <v>1820.8557760000001</v>
      </c>
      <c r="V4" s="65"/>
    </row>
    <row r="5" spans="1:22" x14ac:dyDescent="0.25">
      <c r="A5" s="33">
        <v>0.9</v>
      </c>
      <c r="B5" s="34">
        <v>675.45396400000004</v>
      </c>
      <c r="C5" s="34">
        <v>1268.343022</v>
      </c>
      <c r="D5" s="34">
        <v>1218.7717240000002</v>
      </c>
      <c r="E5" s="34">
        <v>1863.7573900000002</v>
      </c>
      <c r="F5" s="34">
        <v>703.80191200000002</v>
      </c>
      <c r="G5" s="34">
        <v>1323.1261300000001</v>
      </c>
      <c r="H5" s="34">
        <v>1271.3519019999999</v>
      </c>
      <c r="I5" s="34">
        <v>1945.1046099999999</v>
      </c>
      <c r="J5" s="34">
        <v>834.31208199999992</v>
      </c>
      <c r="K5" s="34">
        <v>1575.399226</v>
      </c>
      <c r="L5" s="34">
        <v>1513.4377899999999</v>
      </c>
      <c r="M5" s="34">
        <v>2319.6671859999997</v>
      </c>
      <c r="N5" s="34">
        <v>930.68220999999994</v>
      </c>
      <c r="O5" s="34">
        <v>1761.6918820000001</v>
      </c>
      <c r="P5" s="34">
        <v>1692.2082459999999</v>
      </c>
      <c r="Q5" s="34">
        <v>2596.247734</v>
      </c>
      <c r="R5" s="34">
        <v>738.07090599999992</v>
      </c>
      <c r="S5" s="34">
        <v>1389.3752200000001</v>
      </c>
      <c r="T5" s="34">
        <v>1334.9144919999999</v>
      </c>
      <c r="U5" s="34">
        <v>2043.4627479999999</v>
      </c>
      <c r="V5" s="65"/>
    </row>
    <row r="6" spans="1:22" x14ac:dyDescent="0.25">
      <c r="A6" s="33">
        <v>1</v>
      </c>
      <c r="B6" s="34">
        <v>746.05996000000005</v>
      </c>
      <c r="C6" s="34">
        <v>1404.8255799999999</v>
      </c>
      <c r="D6" s="34">
        <v>1349.7463600000001</v>
      </c>
      <c r="E6" s="34">
        <v>2066.3971000000001</v>
      </c>
      <c r="F6" s="34">
        <v>777.55768</v>
      </c>
      <c r="G6" s="34">
        <v>1465.6957</v>
      </c>
      <c r="H6" s="34">
        <v>1408.1687799999997</v>
      </c>
      <c r="I6" s="34">
        <v>2156.7828999999997</v>
      </c>
      <c r="J6" s="34">
        <v>922.5689799999999</v>
      </c>
      <c r="K6" s="34">
        <v>1745.9991399999999</v>
      </c>
      <c r="L6" s="34">
        <v>1677.1531</v>
      </c>
      <c r="M6" s="34">
        <v>2572.9635399999997</v>
      </c>
      <c r="N6" s="34">
        <v>1029.6469</v>
      </c>
      <c r="O6" s="34">
        <v>1952.99098</v>
      </c>
      <c r="P6" s="34">
        <v>1875.78694</v>
      </c>
      <c r="Q6" s="34">
        <v>2880.2752599999999</v>
      </c>
      <c r="R6" s="34">
        <v>815.63433999999995</v>
      </c>
      <c r="S6" s="34">
        <v>1539.3058000000001</v>
      </c>
      <c r="T6" s="34">
        <v>1478.7938799999999</v>
      </c>
      <c r="U6" s="34">
        <v>2266.06972</v>
      </c>
      <c r="V6" s="65"/>
    </row>
    <row r="7" spans="1:22" x14ac:dyDescent="0.25">
      <c r="A7" s="33">
        <v>1.1000000000000001</v>
      </c>
      <c r="B7" s="34">
        <v>816.66595600000016</v>
      </c>
      <c r="C7" s="34">
        <v>1541.3081380000001</v>
      </c>
      <c r="D7" s="34">
        <v>1480.7209960000002</v>
      </c>
      <c r="E7" s="34">
        <v>2269.0368100000005</v>
      </c>
      <c r="F7" s="34">
        <v>851.31344800000011</v>
      </c>
      <c r="G7" s="34">
        <v>1608.2652700000001</v>
      </c>
      <c r="H7" s="34">
        <v>1544.9856579999998</v>
      </c>
      <c r="I7" s="34">
        <v>2368.46119</v>
      </c>
      <c r="J7" s="34">
        <v>1010.825878</v>
      </c>
      <c r="K7" s="34">
        <v>1916.599054</v>
      </c>
      <c r="L7" s="34">
        <v>1840.86841</v>
      </c>
      <c r="M7" s="34">
        <v>2826.2598939999998</v>
      </c>
      <c r="N7" s="34">
        <v>1128.61159</v>
      </c>
      <c r="O7" s="34">
        <v>2144.290078</v>
      </c>
      <c r="P7" s="34">
        <v>2059.3656340000002</v>
      </c>
      <c r="Q7" s="34">
        <v>3164.3027860000002</v>
      </c>
      <c r="R7" s="34">
        <v>893.19777399999998</v>
      </c>
      <c r="S7" s="34">
        <v>1689.2363800000003</v>
      </c>
      <c r="T7" s="34">
        <v>1622.673268</v>
      </c>
      <c r="U7" s="34">
        <v>2488.676692</v>
      </c>
      <c r="V7" s="65"/>
    </row>
    <row r="8" spans="1:22" x14ac:dyDescent="0.25">
      <c r="A8" s="33">
        <v>1.2</v>
      </c>
      <c r="B8" s="34">
        <v>887.27195200000006</v>
      </c>
      <c r="C8" s="34">
        <v>1677.7906959999998</v>
      </c>
      <c r="D8" s="34">
        <v>1611.6956320000002</v>
      </c>
      <c r="E8" s="34">
        <v>2471.67652</v>
      </c>
      <c r="F8" s="34">
        <v>925.06921599999998</v>
      </c>
      <c r="G8" s="34">
        <v>1750.83484</v>
      </c>
      <c r="H8" s="34">
        <v>1681.8025359999997</v>
      </c>
      <c r="I8" s="34">
        <v>2580.1394799999994</v>
      </c>
      <c r="J8" s="34">
        <v>1099.0827759999997</v>
      </c>
      <c r="K8" s="34">
        <v>2087.1989679999997</v>
      </c>
      <c r="L8" s="34">
        <v>2004.5837199999999</v>
      </c>
      <c r="M8" s="34">
        <v>3079.5562479999994</v>
      </c>
      <c r="N8" s="34">
        <v>1227.57628</v>
      </c>
      <c r="O8" s="34">
        <v>2335.589176</v>
      </c>
      <c r="P8" s="34">
        <v>2242.944328</v>
      </c>
      <c r="Q8" s="34">
        <v>3448.3303119999996</v>
      </c>
      <c r="R8" s="34">
        <v>970.7612079999999</v>
      </c>
      <c r="S8" s="34">
        <v>1839.16696</v>
      </c>
      <c r="T8" s="34">
        <v>1766.5526559999998</v>
      </c>
      <c r="U8" s="34">
        <v>2711.283664</v>
      </c>
      <c r="V8" s="65"/>
    </row>
    <row r="9" spans="1:22" x14ac:dyDescent="0.25">
      <c r="A9" s="33">
        <v>1.3</v>
      </c>
      <c r="B9" s="34">
        <v>957.87794800000006</v>
      </c>
      <c r="C9" s="34">
        <v>1814.273254</v>
      </c>
      <c r="D9" s="34">
        <v>1742.6702680000001</v>
      </c>
      <c r="E9" s="34">
        <v>2674.3162300000004</v>
      </c>
      <c r="F9" s="34">
        <v>998.82498400000009</v>
      </c>
      <c r="G9" s="34">
        <v>1893.4044100000001</v>
      </c>
      <c r="H9" s="34">
        <v>1818.6194139999998</v>
      </c>
      <c r="I9" s="34">
        <v>2791.8177699999997</v>
      </c>
      <c r="J9" s="34">
        <v>1187.3396739999998</v>
      </c>
      <c r="K9" s="34">
        <v>2257.798882</v>
      </c>
      <c r="L9" s="34">
        <v>2168.2990300000001</v>
      </c>
      <c r="M9" s="34">
        <v>3332.8526019999999</v>
      </c>
      <c r="N9" s="34">
        <v>1326.54097</v>
      </c>
      <c r="O9" s="34">
        <v>2526.8882739999999</v>
      </c>
      <c r="P9" s="34">
        <v>2426.5230219999999</v>
      </c>
      <c r="Q9" s="34">
        <v>3732.3578379999999</v>
      </c>
      <c r="R9" s="34">
        <v>1048.324642</v>
      </c>
      <c r="S9" s="34">
        <v>1989.0975400000002</v>
      </c>
      <c r="T9" s="34">
        <v>1910.4320439999999</v>
      </c>
      <c r="U9" s="34">
        <v>2933.8906360000001</v>
      </c>
      <c r="V9" s="65"/>
    </row>
    <row r="10" spans="1:22" x14ac:dyDescent="0.25">
      <c r="A10" s="33">
        <v>1.4</v>
      </c>
      <c r="B10" s="34">
        <v>1028.4839440000001</v>
      </c>
      <c r="C10" s="34">
        <v>1950.7558119999999</v>
      </c>
      <c r="D10" s="34">
        <v>1873.644904</v>
      </c>
      <c r="E10" s="34">
        <v>2876.9559399999998</v>
      </c>
      <c r="F10" s="34">
        <v>1072.5807519999998</v>
      </c>
      <c r="G10" s="34">
        <v>2035.9739799999998</v>
      </c>
      <c r="H10" s="34">
        <v>1955.4362919999994</v>
      </c>
      <c r="I10" s="34">
        <v>3003.4960599999995</v>
      </c>
      <c r="J10" s="34">
        <v>1275.5965719999997</v>
      </c>
      <c r="K10" s="34">
        <v>2428.3987959999995</v>
      </c>
      <c r="L10" s="34">
        <v>2332.0143399999997</v>
      </c>
      <c r="M10" s="34">
        <v>3586.1489559999995</v>
      </c>
      <c r="N10" s="34">
        <v>1425.5056599999998</v>
      </c>
      <c r="O10" s="34">
        <v>2718.1873719999999</v>
      </c>
      <c r="P10" s="34">
        <v>2610.1017159999997</v>
      </c>
      <c r="Q10" s="34">
        <v>4016.3853639999998</v>
      </c>
      <c r="R10" s="34">
        <v>1125.888076</v>
      </c>
      <c r="S10" s="34">
        <v>2139.0281199999999</v>
      </c>
      <c r="T10" s="34">
        <v>2054.3114319999995</v>
      </c>
      <c r="U10" s="34">
        <v>3156.4976079999997</v>
      </c>
      <c r="V10" s="65"/>
    </row>
    <row r="11" spans="1:22" x14ac:dyDescent="0.25">
      <c r="A11" s="33">
        <v>1.5</v>
      </c>
      <c r="B11" s="34">
        <v>1099.0899400000001</v>
      </c>
      <c r="C11" s="34">
        <v>2087.23837</v>
      </c>
      <c r="D11" s="34">
        <v>2004.6195400000001</v>
      </c>
      <c r="E11" s="34">
        <v>3079.5956500000002</v>
      </c>
      <c r="F11" s="34">
        <v>1146.3365200000001</v>
      </c>
      <c r="G11" s="34">
        <v>2178.5435499999999</v>
      </c>
      <c r="H11" s="34">
        <v>2092.2531699999995</v>
      </c>
      <c r="I11" s="34">
        <v>3215.1743499999993</v>
      </c>
      <c r="J11" s="34">
        <v>1363.8534699999998</v>
      </c>
      <c r="K11" s="34">
        <v>2598.9987099999998</v>
      </c>
      <c r="L11" s="34">
        <v>2495.7296500000002</v>
      </c>
      <c r="M11" s="34">
        <v>3839.4453099999996</v>
      </c>
      <c r="N11" s="34">
        <v>1524.4703500000001</v>
      </c>
      <c r="O11" s="34">
        <v>2909.4864699999998</v>
      </c>
      <c r="P11" s="34">
        <v>2793.6804099999999</v>
      </c>
      <c r="Q11" s="34">
        <v>4300.4128899999996</v>
      </c>
      <c r="R11" s="34">
        <v>1203.4515099999999</v>
      </c>
      <c r="S11" s="34">
        <v>2288.9587000000001</v>
      </c>
      <c r="T11" s="34">
        <v>2198.1908199999998</v>
      </c>
      <c r="U11" s="34">
        <v>3379.1045800000002</v>
      </c>
      <c r="V11" s="65"/>
    </row>
    <row r="12" spans="1:22" x14ac:dyDescent="0.25">
      <c r="A12" s="33">
        <v>2.6</v>
      </c>
      <c r="B12" s="34">
        <v>1875.7558960000001</v>
      </c>
      <c r="C12" s="34">
        <v>3588.5465079999999</v>
      </c>
      <c r="D12" s="34">
        <v>3445.3405360000002</v>
      </c>
      <c r="E12" s="34">
        <v>5308.6324600000007</v>
      </c>
      <c r="F12" s="34">
        <v>1957.6499680000002</v>
      </c>
      <c r="G12" s="34">
        <v>3746.8088200000002</v>
      </c>
      <c r="H12" s="34">
        <v>3597.2388279999996</v>
      </c>
      <c r="I12" s="34">
        <v>5543.6355399999993</v>
      </c>
      <c r="J12" s="34">
        <v>2334.6793479999997</v>
      </c>
      <c r="K12" s="34">
        <v>4475.5977640000001</v>
      </c>
      <c r="L12" s="34">
        <v>4296.5980600000003</v>
      </c>
      <c r="M12" s="34">
        <v>6625.7052039999999</v>
      </c>
      <c r="N12" s="34">
        <v>2613.08194</v>
      </c>
      <c r="O12" s="34">
        <v>5013.7765479999998</v>
      </c>
      <c r="P12" s="34">
        <v>4813.0460439999997</v>
      </c>
      <c r="Q12" s="34">
        <v>7424.7156759999998</v>
      </c>
      <c r="R12" s="34">
        <v>2056.6492840000001</v>
      </c>
      <c r="S12" s="34">
        <v>3938.1950800000004</v>
      </c>
      <c r="T12" s="34">
        <v>3780.8640879999998</v>
      </c>
      <c r="U12" s="34">
        <v>5827.7812720000002</v>
      </c>
      <c r="V12" s="65"/>
    </row>
    <row r="13" spans="1:22" x14ac:dyDescent="0.25">
      <c r="A13" s="33" t="s">
        <v>114</v>
      </c>
      <c r="B13" s="34">
        <v>43.14</v>
      </c>
      <c r="C13" s="34">
        <v>80.34</v>
      </c>
      <c r="D13" s="34">
        <v>85.15</v>
      </c>
      <c r="E13" s="34">
        <v>130.13999999999999</v>
      </c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65"/>
    </row>
    <row r="14" spans="1:22" x14ac:dyDescent="0.25">
      <c r="A14" s="33" t="s">
        <v>115</v>
      </c>
      <c r="B14" s="34">
        <v>36.42</v>
      </c>
      <c r="C14" s="34">
        <v>66.900000000000006</v>
      </c>
      <c r="D14" s="34">
        <v>74.78</v>
      </c>
      <c r="E14" s="34">
        <v>112.36</v>
      </c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</row>
    <row r="15" spans="1:22" x14ac:dyDescent="0.25">
      <c r="A15" s="33" t="s">
        <v>116</v>
      </c>
      <c r="B15" s="34">
        <v>7.59</v>
      </c>
      <c r="C15" s="34">
        <v>15.17</v>
      </c>
      <c r="D15" s="34">
        <v>21.77</v>
      </c>
      <c r="E15" s="34">
        <v>31.71</v>
      </c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75</v>
      </c>
    </row>
    <row r="20" spans="1:1" x14ac:dyDescent="0.25">
      <c r="A20" t="s">
        <v>99</v>
      </c>
    </row>
  </sheetData>
  <sheetProtection sheet="1" formatCells="0" formatColumns="0" formatRows="0" insertColumns="0" insertRows="0" insertHyperlinks="0" deleteColumns="0" deleteRows="0" sort="0" autoFilter="0" pivotTables="0"/>
  <mergeCells count="5">
    <mergeCell ref="B1:E1"/>
    <mergeCell ref="F1:I1"/>
    <mergeCell ref="J1:M1"/>
    <mergeCell ref="N1:Q1"/>
    <mergeCell ref="R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I22"/>
  <sheetViews>
    <sheetView showGridLines="0" workbookViewId="0">
      <selection activeCell="D14" sqref="D14"/>
    </sheetView>
  </sheetViews>
  <sheetFormatPr defaultRowHeight="15" x14ac:dyDescent="0.25"/>
  <cols>
    <col min="2" max="2" width="21.28515625" customWidth="1"/>
    <col min="3" max="3" width="24" style="1" customWidth="1"/>
    <col min="4" max="4" width="24.28515625" style="1" customWidth="1"/>
    <col min="5" max="5" width="28" bestFit="1" customWidth="1"/>
    <col min="6" max="6" width="17.28515625" customWidth="1"/>
    <col min="7" max="7" width="10" bestFit="1" customWidth="1"/>
    <col min="9" max="9" width="10" bestFit="1" customWidth="1"/>
  </cols>
  <sheetData>
    <row r="1" spans="2:9" ht="18.75" x14ac:dyDescent="0.3">
      <c r="B1" s="79" t="s">
        <v>19</v>
      </c>
      <c r="C1" s="79"/>
      <c r="D1" s="79"/>
      <c r="E1" s="79"/>
      <c r="F1" s="14"/>
      <c r="G1" s="14"/>
      <c r="H1" s="14"/>
      <c r="I1" s="14"/>
    </row>
    <row r="2" spans="2:9" x14ac:dyDescent="0.25">
      <c r="B2" s="80" t="s">
        <v>30</v>
      </c>
      <c r="C2" s="80"/>
      <c r="D2" s="80"/>
      <c r="E2" s="80"/>
      <c r="F2" s="15"/>
      <c r="G2" s="15"/>
      <c r="H2" s="15"/>
    </row>
    <row r="3" spans="2:9" ht="10.9" customHeight="1" x14ac:dyDescent="0.25">
      <c r="C3"/>
      <c r="D3"/>
    </row>
    <row r="4" spans="2:9" x14ac:dyDescent="0.25">
      <c r="B4" s="21" t="s">
        <v>18</v>
      </c>
      <c r="C4" s="21" t="s">
        <v>32</v>
      </c>
      <c r="D4" s="21" t="s">
        <v>31</v>
      </c>
      <c r="E4" s="21" t="s">
        <v>20</v>
      </c>
    </row>
    <row r="5" spans="2:9" x14ac:dyDescent="0.25">
      <c r="B5" s="16" t="s">
        <v>0</v>
      </c>
      <c r="C5" s="16" t="s">
        <v>7</v>
      </c>
      <c r="D5" s="16" t="s">
        <v>29</v>
      </c>
      <c r="E5" s="16" t="s">
        <v>21</v>
      </c>
    </row>
    <row r="6" spans="2:9" x14ac:dyDescent="0.25">
      <c r="B6" s="16" t="s">
        <v>17</v>
      </c>
      <c r="C6" s="17" t="s">
        <v>33</v>
      </c>
      <c r="D6" s="17" t="s">
        <v>33</v>
      </c>
      <c r="E6" s="16" t="s">
        <v>21</v>
      </c>
    </row>
    <row r="7" spans="2:9" x14ac:dyDescent="0.25">
      <c r="B7" s="16" t="s">
        <v>1</v>
      </c>
      <c r="C7" s="17" t="s">
        <v>37</v>
      </c>
      <c r="D7" s="17" t="s">
        <v>44</v>
      </c>
      <c r="E7" s="16"/>
    </row>
    <row r="8" spans="2:9" x14ac:dyDescent="0.25">
      <c r="B8" s="16" t="s">
        <v>2</v>
      </c>
      <c r="C8" s="17" t="s">
        <v>42</v>
      </c>
      <c r="D8" s="17" t="s">
        <v>42</v>
      </c>
      <c r="E8" s="16"/>
    </row>
    <row r="9" spans="2:9" x14ac:dyDescent="0.25">
      <c r="B9" s="16" t="s">
        <v>23</v>
      </c>
      <c r="C9" s="18">
        <v>0.2</v>
      </c>
      <c r="D9" s="18">
        <v>0</v>
      </c>
      <c r="E9" s="16" t="s">
        <v>22</v>
      </c>
    </row>
    <row r="10" spans="2:9" x14ac:dyDescent="0.25">
      <c r="B10" s="16" t="s">
        <v>34</v>
      </c>
      <c r="C10" s="17">
        <v>0</v>
      </c>
      <c r="D10" s="17">
        <v>0</v>
      </c>
      <c r="E10" s="16"/>
    </row>
    <row r="11" spans="2:9" ht="30" x14ac:dyDescent="0.25">
      <c r="B11" s="16" t="s">
        <v>35</v>
      </c>
      <c r="C11" s="20" t="s">
        <v>36</v>
      </c>
      <c r="D11" s="20" t="s">
        <v>45</v>
      </c>
      <c r="E11" s="16"/>
    </row>
    <row r="12" spans="2:9" x14ac:dyDescent="0.25">
      <c r="B12" s="16" t="s">
        <v>38</v>
      </c>
      <c r="C12" s="17" t="s">
        <v>37</v>
      </c>
      <c r="D12" s="17" t="s">
        <v>44</v>
      </c>
      <c r="E12" s="16" t="s">
        <v>54</v>
      </c>
    </row>
    <row r="13" spans="2:9" x14ac:dyDescent="0.25">
      <c r="B13" s="16" t="s">
        <v>53</v>
      </c>
      <c r="C13" s="17" t="s">
        <v>55</v>
      </c>
      <c r="D13" s="17" t="s">
        <v>55</v>
      </c>
      <c r="E13" s="16"/>
    </row>
    <row r="14" spans="2:9" ht="45" x14ac:dyDescent="0.25">
      <c r="B14" s="16" t="s">
        <v>39</v>
      </c>
      <c r="C14" s="20" t="s">
        <v>40</v>
      </c>
      <c r="D14" s="20" t="s">
        <v>46</v>
      </c>
      <c r="E14" s="16"/>
    </row>
    <row r="15" spans="2:9" ht="30" x14ac:dyDescent="0.25">
      <c r="B15" s="16" t="s">
        <v>56</v>
      </c>
      <c r="C15" s="17">
        <v>350</v>
      </c>
      <c r="D15" s="17">
        <v>350</v>
      </c>
      <c r="E15" s="19" t="s">
        <v>57</v>
      </c>
    </row>
    <row r="16" spans="2:9" x14ac:dyDescent="0.25">
      <c r="B16" s="16" t="s">
        <v>41</v>
      </c>
      <c r="C16" s="20" t="s">
        <v>42</v>
      </c>
      <c r="D16" s="20" t="s">
        <v>42</v>
      </c>
      <c r="E16" s="16"/>
    </row>
    <row r="17" spans="2:5" x14ac:dyDescent="0.25">
      <c r="B17" s="16" t="s">
        <v>51</v>
      </c>
      <c r="C17" s="17">
        <v>0</v>
      </c>
      <c r="D17" s="16" t="s">
        <v>47</v>
      </c>
      <c r="E17" s="16" t="s">
        <v>21</v>
      </c>
    </row>
    <row r="18" spans="2:5" x14ac:dyDescent="0.25">
      <c r="B18" s="16" t="s">
        <v>3</v>
      </c>
      <c r="C18" s="17">
        <v>15</v>
      </c>
      <c r="D18" s="17" t="s">
        <v>48</v>
      </c>
      <c r="E18" s="16"/>
    </row>
    <row r="19" spans="2:5" x14ac:dyDescent="0.25">
      <c r="B19" s="16" t="s">
        <v>4</v>
      </c>
      <c r="C19" s="17">
        <v>35</v>
      </c>
      <c r="D19" s="17" t="s">
        <v>49</v>
      </c>
      <c r="E19" s="16"/>
    </row>
    <row r="20" spans="2:5" ht="30" x14ac:dyDescent="0.25">
      <c r="B20" s="16" t="s">
        <v>5</v>
      </c>
      <c r="C20" s="17">
        <v>60</v>
      </c>
      <c r="D20" s="19" t="s">
        <v>50</v>
      </c>
      <c r="E20" s="16"/>
    </row>
    <row r="21" spans="2:5" ht="45" x14ac:dyDescent="0.25">
      <c r="B21" s="16" t="s">
        <v>6</v>
      </c>
      <c r="C21" s="22" t="s">
        <v>43</v>
      </c>
      <c r="D21" s="19" t="s">
        <v>52</v>
      </c>
      <c r="E21" s="16"/>
    </row>
    <row r="22" spans="2:5" x14ac:dyDescent="0.25">
      <c r="B22" s="23" t="s">
        <v>58</v>
      </c>
      <c r="C22" s="2"/>
      <c r="D22" s="2"/>
    </row>
  </sheetData>
  <mergeCells count="2">
    <mergeCell ref="B1:E1"/>
    <mergeCell ref="B2:E2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Rate Sheet NATIONAL 1.2</vt:lpstr>
      <vt:lpstr>INSTRUCTION TAB</vt:lpstr>
      <vt:lpstr>Rate Sheet TEXAS</vt:lpstr>
      <vt:lpstr>Rate tier guide</vt:lpstr>
      <vt:lpstr>SPD Features</vt:lpstr>
      <vt:lpstr>'Rate Sheet NATIONAL 1.2'!Print_Area</vt:lpstr>
      <vt:lpstr>'Rate Sheet TEXAS'!Print_Area</vt:lpstr>
      <vt:lpstr>'SPD Features'!Print_Area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Manning</dc:creator>
  <cp:lastModifiedBy>Lynn Manning</cp:lastModifiedBy>
  <cp:lastPrinted>2026-10-15T20:36:21Z</cp:lastPrinted>
  <dcterms:created xsi:type="dcterms:W3CDTF">2016-11-17T14:02:35Z</dcterms:created>
  <dcterms:modified xsi:type="dcterms:W3CDTF">2026-10-21T17:32:12Z</dcterms:modified>
</cp:coreProperties>
</file>